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088" windowWidth="10800" windowHeight="4116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25725"/>
</workbook>
</file>

<file path=xl/calcChain.xml><?xml version="1.0" encoding="utf-8"?>
<calcChain xmlns="http://schemas.openxmlformats.org/spreadsheetml/2006/main">
  <c r="H44" i="1"/>
  <c r="D41" i="3"/>
  <c r="D14" i="1"/>
  <c r="G27"/>
  <c r="G33" s="1"/>
  <c r="C19" i="2"/>
  <c r="H27" i="1"/>
  <c r="H21"/>
  <c r="H25" s="1"/>
  <c r="G21"/>
  <c r="H17"/>
  <c r="G17"/>
  <c r="C39"/>
  <c r="C34"/>
  <c r="C45"/>
  <c r="H33"/>
  <c r="H49"/>
  <c r="H55" s="1"/>
  <c r="H61"/>
  <c r="H71" s="1"/>
  <c r="H79" s="1"/>
  <c r="D78"/>
  <c r="D84"/>
  <c r="D64"/>
  <c r="D75"/>
  <c r="D91"/>
  <c r="D93" s="1"/>
  <c r="D32"/>
  <c r="D19"/>
  <c r="D27"/>
  <c r="D34"/>
  <c r="D39"/>
  <c r="D45"/>
  <c r="D51"/>
  <c r="D55"/>
  <c r="G25"/>
  <c r="G61"/>
  <c r="G71" s="1"/>
  <c r="G79" s="1"/>
  <c r="G49"/>
  <c r="G55" s="1"/>
  <c r="C32"/>
  <c r="C19"/>
  <c r="C27"/>
  <c r="C51"/>
  <c r="C75"/>
  <c r="C64"/>
  <c r="C78"/>
  <c r="C84" s="1"/>
  <c r="C91"/>
  <c r="H13" i="2"/>
  <c r="H24"/>
  <c r="D26"/>
  <c r="D19"/>
  <c r="D35"/>
  <c r="G13"/>
  <c r="G24"/>
  <c r="C26"/>
  <c r="C35"/>
  <c r="B3"/>
  <c r="B2"/>
  <c r="H3"/>
  <c r="H2"/>
  <c r="B4"/>
  <c r="B4" i="3"/>
  <c r="D5"/>
  <c r="D4"/>
  <c r="B5"/>
  <c r="B6"/>
  <c r="D42"/>
  <c r="D20"/>
  <c r="D32"/>
  <c r="C20"/>
  <c r="C32"/>
  <c r="C42"/>
  <c r="M4" i="4"/>
  <c r="M3"/>
  <c r="B5"/>
  <c r="B3"/>
  <c r="B4"/>
  <c r="F17"/>
  <c r="M11"/>
  <c r="M12"/>
  <c r="M17"/>
  <c r="M21"/>
  <c r="M24"/>
  <c r="D17"/>
  <c r="D21"/>
  <c r="D24"/>
  <c r="D11"/>
  <c r="D12"/>
  <c r="D15"/>
  <c r="E11"/>
  <c r="E12"/>
  <c r="E17"/>
  <c r="E21"/>
  <c r="E24"/>
  <c r="F11"/>
  <c r="F12"/>
  <c r="F21"/>
  <c r="F24"/>
  <c r="G11"/>
  <c r="G12"/>
  <c r="G15"/>
  <c r="G17"/>
  <c r="G21"/>
  <c r="G24"/>
  <c r="G29"/>
  <c r="G32" s="1"/>
  <c r="H12"/>
  <c r="H15"/>
  <c r="H17"/>
  <c r="H21"/>
  <c r="H24"/>
  <c r="H29"/>
  <c r="I16"/>
  <c r="I11"/>
  <c r="I12"/>
  <c r="I15"/>
  <c r="I17"/>
  <c r="I21"/>
  <c r="L21" s="1"/>
  <c r="I24"/>
  <c r="J11"/>
  <c r="J12"/>
  <c r="J17"/>
  <c r="J21"/>
  <c r="J24"/>
  <c r="J16"/>
  <c r="K17"/>
  <c r="K21"/>
  <c r="K24"/>
  <c r="K12"/>
  <c r="K15" s="1"/>
  <c r="C11"/>
  <c r="L11" s="1"/>
  <c r="C12"/>
  <c r="C17"/>
  <c r="C21"/>
  <c r="C24"/>
  <c r="L24" s="1"/>
  <c r="L12"/>
  <c r="L13"/>
  <c r="L14"/>
  <c r="L18"/>
  <c r="L19"/>
  <c r="L20"/>
  <c r="L22"/>
  <c r="L23"/>
  <c r="L25"/>
  <c r="L26"/>
  <c r="L27"/>
  <c r="L28"/>
  <c r="L30"/>
  <c r="L31"/>
  <c r="H32"/>
  <c r="G39" i="5"/>
  <c r="J39" s="1"/>
  <c r="R39" s="1"/>
  <c r="N39"/>
  <c r="Q39" s="1"/>
  <c r="O3"/>
  <c r="O2"/>
  <c r="C3"/>
  <c r="C2"/>
  <c r="G15"/>
  <c r="J15" s="1"/>
  <c r="R15" s="1"/>
  <c r="N15"/>
  <c r="Q15" s="1"/>
  <c r="D17"/>
  <c r="D25"/>
  <c r="G25" s="1"/>
  <c r="J25" s="1"/>
  <c r="D27"/>
  <c r="D32"/>
  <c r="D38"/>
  <c r="E17"/>
  <c r="E25"/>
  <c r="E27"/>
  <c r="E32"/>
  <c r="E38" s="1"/>
  <c r="F17"/>
  <c r="F25"/>
  <c r="F27"/>
  <c r="F32"/>
  <c r="F38"/>
  <c r="G18"/>
  <c r="J18" s="1"/>
  <c r="R18" s="1"/>
  <c r="G19"/>
  <c r="H17"/>
  <c r="H25"/>
  <c r="H27"/>
  <c r="H32"/>
  <c r="H38"/>
  <c r="I17"/>
  <c r="I25"/>
  <c r="I27"/>
  <c r="I32"/>
  <c r="I38" s="1"/>
  <c r="J19"/>
  <c r="K17"/>
  <c r="K25"/>
  <c r="N25" s="1"/>
  <c r="Q25" s="1"/>
  <c r="K27"/>
  <c r="K32"/>
  <c r="K38" s="1"/>
  <c r="N38" s="1"/>
  <c r="L17"/>
  <c r="L25"/>
  <c r="L27"/>
  <c r="L32"/>
  <c r="L38"/>
  <c r="M17"/>
  <c r="M25"/>
  <c r="M27"/>
  <c r="M32"/>
  <c r="M38" s="1"/>
  <c r="N18"/>
  <c r="N19"/>
  <c r="Q19" s="1"/>
  <c r="R19" s="1"/>
  <c r="O17"/>
  <c r="O25"/>
  <c r="O27"/>
  <c r="O32"/>
  <c r="O38" s="1"/>
  <c r="P17"/>
  <c r="P25"/>
  <c r="P27"/>
  <c r="P32"/>
  <c r="P38"/>
  <c r="Q18"/>
  <c r="N28"/>
  <c r="Q28" s="1"/>
  <c r="G28"/>
  <c r="J28" s="1"/>
  <c r="R28" s="1"/>
  <c r="N29"/>
  <c r="Q29"/>
  <c r="G29"/>
  <c r="J29"/>
  <c r="R29" s="1"/>
  <c r="N30"/>
  <c r="Q30" s="1"/>
  <c r="G30"/>
  <c r="J30" s="1"/>
  <c r="R30" s="1"/>
  <c r="N31"/>
  <c r="Q31"/>
  <c r="G31"/>
  <c r="J31"/>
  <c r="R31" s="1"/>
  <c r="G32"/>
  <c r="J32" s="1"/>
  <c r="N33"/>
  <c r="Q33"/>
  <c r="G33"/>
  <c r="J33"/>
  <c r="R33" s="1"/>
  <c r="N34"/>
  <c r="Q34" s="1"/>
  <c r="G34"/>
  <c r="J34" s="1"/>
  <c r="R34" s="1"/>
  <c r="N35"/>
  <c r="Q35"/>
  <c r="G35"/>
  <c r="J35"/>
  <c r="R35" s="1"/>
  <c r="N36"/>
  <c r="Q36" s="1"/>
  <c r="G36"/>
  <c r="J36" s="1"/>
  <c r="R36" s="1"/>
  <c r="N37"/>
  <c r="Q37"/>
  <c r="G37"/>
  <c r="J37"/>
  <c r="R37" s="1"/>
  <c r="G20"/>
  <c r="G21"/>
  <c r="J21" s="1"/>
  <c r="R21" s="1"/>
  <c r="G22"/>
  <c r="G23"/>
  <c r="J23" s="1"/>
  <c r="R23" s="1"/>
  <c r="G24"/>
  <c r="G27"/>
  <c r="J27" s="1"/>
  <c r="R27" s="1"/>
  <c r="G16"/>
  <c r="J16" s="1"/>
  <c r="J20"/>
  <c r="J22"/>
  <c r="J24"/>
  <c r="N20"/>
  <c r="Q20" s="1"/>
  <c r="R20" s="1"/>
  <c r="N21"/>
  <c r="N22"/>
  <c r="Q22" s="1"/>
  <c r="R22" s="1"/>
  <c r="N23"/>
  <c r="N24"/>
  <c r="Q24" s="1"/>
  <c r="R24" s="1"/>
  <c r="N27"/>
  <c r="N16"/>
  <c r="Q16" s="1"/>
  <c r="Q21"/>
  <c r="Q23"/>
  <c r="Q27"/>
  <c r="G10"/>
  <c r="G11"/>
  <c r="J11" s="1"/>
  <c r="G12"/>
  <c r="G13"/>
  <c r="J13" s="1"/>
  <c r="G14"/>
  <c r="G9"/>
  <c r="J9" s="1"/>
  <c r="J10"/>
  <c r="N10"/>
  <c r="Q10" s="1"/>
  <c r="N11"/>
  <c r="Q11" s="1"/>
  <c r="J12"/>
  <c r="N12"/>
  <c r="Q12" s="1"/>
  <c r="N13"/>
  <c r="Q13" s="1"/>
  <c r="J14"/>
  <c r="N14"/>
  <c r="Q14" s="1"/>
  <c r="N9"/>
  <c r="Q9" s="1"/>
  <c r="B4" i="6"/>
  <c r="B3"/>
  <c r="E4"/>
  <c r="E3"/>
  <c r="F71"/>
  <c r="E72"/>
  <c r="E73"/>
  <c r="E74"/>
  <c r="D71"/>
  <c r="F75"/>
  <c r="E76"/>
  <c r="E78"/>
  <c r="E75"/>
  <c r="D75"/>
  <c r="F80"/>
  <c r="E81"/>
  <c r="E82"/>
  <c r="E83"/>
  <c r="E84"/>
  <c r="D80"/>
  <c r="F90"/>
  <c r="F85" s="1"/>
  <c r="F96" s="1"/>
  <c r="F97" s="1"/>
  <c r="E86"/>
  <c r="E87"/>
  <c r="E88"/>
  <c r="E89"/>
  <c r="E91"/>
  <c r="E92"/>
  <c r="E93"/>
  <c r="E94"/>
  <c r="D90"/>
  <c r="D85" s="1"/>
  <c r="D96" s="1"/>
  <c r="F56"/>
  <c r="F52"/>
  <c r="F66"/>
  <c r="E95"/>
  <c r="C56"/>
  <c r="C52"/>
  <c r="C66"/>
  <c r="D56"/>
  <c r="D52"/>
  <c r="E68"/>
  <c r="C90"/>
  <c r="C85" s="1"/>
  <c r="C96" s="1"/>
  <c r="C97" s="1"/>
  <c r="C71"/>
  <c r="C75"/>
  <c r="C80"/>
  <c r="D16"/>
  <c r="E16" s="1"/>
  <c r="C16"/>
  <c r="F103"/>
  <c r="F104"/>
  <c r="F102"/>
  <c r="E54"/>
  <c r="E55"/>
  <c r="E57"/>
  <c r="E58"/>
  <c r="E59"/>
  <c r="E60"/>
  <c r="E61"/>
  <c r="E62"/>
  <c r="E63"/>
  <c r="E64"/>
  <c r="E65"/>
  <c r="E77"/>
  <c r="E79"/>
  <c r="E53"/>
  <c r="C24"/>
  <c r="C38"/>
  <c r="E12"/>
  <c r="E11" s="1"/>
  <c r="E19" s="1"/>
  <c r="E13"/>
  <c r="E14"/>
  <c r="E15"/>
  <c r="E9"/>
  <c r="E29"/>
  <c r="E27"/>
  <c r="E25"/>
  <c r="E26"/>
  <c r="E24" s="1"/>
  <c r="E28"/>
  <c r="E30"/>
  <c r="E31"/>
  <c r="E37"/>
  <c r="E36"/>
  <c r="E35"/>
  <c r="E34"/>
  <c r="E42"/>
  <c r="E40"/>
  <c r="E39"/>
  <c r="E41"/>
  <c r="E38"/>
  <c r="E32"/>
  <c r="E21"/>
  <c r="C11"/>
  <c r="C19"/>
  <c r="C33"/>
  <c r="C43"/>
  <c r="C44" s="1"/>
  <c r="D24"/>
  <c r="D33"/>
  <c r="D38"/>
  <c r="D11"/>
  <c r="D19" s="1"/>
  <c r="E20"/>
  <c r="D105"/>
  <c r="E105"/>
  <c r="F105"/>
  <c r="C105"/>
  <c r="E17"/>
  <c r="E18"/>
  <c r="I5" i="7"/>
  <c r="I4"/>
  <c r="B5"/>
  <c r="B4"/>
  <c r="I13"/>
  <c r="I14"/>
  <c r="I15"/>
  <c r="I16"/>
  <c r="F17"/>
  <c r="G17"/>
  <c r="H17"/>
  <c r="I19"/>
  <c r="I20"/>
  <c r="I21"/>
  <c r="I22"/>
  <c r="I23"/>
  <c r="I24"/>
  <c r="I25"/>
  <c r="F26"/>
  <c r="I26" s="1"/>
  <c r="G26"/>
  <c r="H26"/>
  <c r="I12"/>
  <c r="E26"/>
  <c r="D26"/>
  <c r="E17"/>
  <c r="D17"/>
  <c r="C26"/>
  <c r="C17"/>
  <c r="F6" i="8"/>
  <c r="F5"/>
  <c r="B6"/>
  <c r="B5"/>
  <c r="F12"/>
  <c r="F19"/>
  <c r="C131"/>
  <c r="F147"/>
  <c r="F146"/>
  <c r="F145"/>
  <c r="F144"/>
  <c r="F143"/>
  <c r="F142"/>
  <c r="F141"/>
  <c r="F140"/>
  <c r="F139"/>
  <c r="F138"/>
  <c r="F137"/>
  <c r="F136"/>
  <c r="F135"/>
  <c r="F134"/>
  <c r="F133"/>
  <c r="F130"/>
  <c r="F129"/>
  <c r="F128"/>
  <c r="F127"/>
  <c r="F126"/>
  <c r="F125"/>
  <c r="F124"/>
  <c r="F123"/>
  <c r="F122"/>
  <c r="F121"/>
  <c r="F120"/>
  <c r="F119"/>
  <c r="F118"/>
  <c r="F117"/>
  <c r="F116"/>
  <c r="F113"/>
  <c r="F112"/>
  <c r="F111"/>
  <c r="F110"/>
  <c r="F109"/>
  <c r="F108"/>
  <c r="F107"/>
  <c r="F106"/>
  <c r="F105"/>
  <c r="F104"/>
  <c r="F103"/>
  <c r="F102"/>
  <c r="F101"/>
  <c r="F100"/>
  <c r="F99"/>
  <c r="F96"/>
  <c r="F95"/>
  <c r="F94"/>
  <c r="F93"/>
  <c r="F92"/>
  <c r="F91"/>
  <c r="F90"/>
  <c r="F89"/>
  <c r="F88"/>
  <c r="F87"/>
  <c r="F86"/>
  <c r="F85"/>
  <c r="F84"/>
  <c r="F83"/>
  <c r="F82"/>
  <c r="F77"/>
  <c r="F76"/>
  <c r="F75"/>
  <c r="F74"/>
  <c r="F73"/>
  <c r="F72"/>
  <c r="F71"/>
  <c r="F70"/>
  <c r="F69"/>
  <c r="F68"/>
  <c r="F67"/>
  <c r="F66"/>
  <c r="F65"/>
  <c r="F64"/>
  <c r="F63"/>
  <c r="F60"/>
  <c r="F59"/>
  <c r="F58"/>
  <c r="F57"/>
  <c r="F56"/>
  <c r="F55"/>
  <c r="F54"/>
  <c r="F53"/>
  <c r="F52"/>
  <c r="F51"/>
  <c r="F50"/>
  <c r="F49"/>
  <c r="F48"/>
  <c r="F47"/>
  <c r="F46"/>
  <c r="F43"/>
  <c r="F42"/>
  <c r="F41"/>
  <c r="F40"/>
  <c r="F39"/>
  <c r="F38"/>
  <c r="F37"/>
  <c r="F36"/>
  <c r="F35"/>
  <c r="F34"/>
  <c r="F33"/>
  <c r="F32"/>
  <c r="F31"/>
  <c r="F30"/>
  <c r="F29"/>
  <c r="F13"/>
  <c r="F14"/>
  <c r="F15"/>
  <c r="F16"/>
  <c r="F17"/>
  <c r="F18"/>
  <c r="F20"/>
  <c r="F21"/>
  <c r="F22"/>
  <c r="F23"/>
  <c r="F24"/>
  <c r="F25"/>
  <c r="F26"/>
  <c r="C148"/>
  <c r="C149" s="1"/>
  <c r="C114"/>
  <c r="C97"/>
  <c r="F148"/>
  <c r="F149" s="1"/>
  <c r="E148"/>
  <c r="F131"/>
  <c r="E131"/>
  <c r="F114"/>
  <c r="E114"/>
  <c r="F97"/>
  <c r="E97"/>
  <c r="C27"/>
  <c r="C78"/>
  <c r="C61"/>
  <c r="C44"/>
  <c r="F78"/>
  <c r="E78"/>
  <c r="F61"/>
  <c r="E61"/>
  <c r="F44"/>
  <c r="E44"/>
  <c r="E27"/>
  <c r="E79" s="1"/>
  <c r="L16" i="4" l="1"/>
  <c r="F15"/>
  <c r="D29"/>
  <c r="D32" s="1"/>
  <c r="E90" i="6"/>
  <c r="D66"/>
  <c r="E66" s="1"/>
  <c r="E56"/>
  <c r="N17" i="5"/>
  <c r="Q17" s="1"/>
  <c r="Q40" s="1"/>
  <c r="R11"/>
  <c r="R9"/>
  <c r="R14"/>
  <c r="R10"/>
  <c r="D43" i="3"/>
  <c r="D45" s="1"/>
  <c r="L17" i="4"/>
  <c r="H36" i="1"/>
  <c r="H94" s="1"/>
  <c r="G28" i="2"/>
  <c r="G33" s="1"/>
  <c r="H28"/>
  <c r="D28"/>
  <c r="D33" s="1"/>
  <c r="C28"/>
  <c r="Q38" i="5"/>
  <c r="R25"/>
  <c r="G38"/>
  <c r="J38" s="1"/>
  <c r="R38" s="1"/>
  <c r="E85" i="6"/>
  <c r="E96" s="1"/>
  <c r="E97" s="1"/>
  <c r="G36" i="1"/>
  <c r="G94" s="1"/>
  <c r="I17" i="7"/>
  <c r="E80" i="6"/>
  <c r="P40" i="5"/>
  <c r="N40"/>
  <c r="L40"/>
  <c r="H40"/>
  <c r="F40"/>
  <c r="D40"/>
  <c r="C55" i="1"/>
  <c r="D94"/>
  <c r="C79" i="8"/>
  <c r="E149"/>
  <c r="F27"/>
  <c r="F79" s="1"/>
  <c r="D43" i="6"/>
  <c r="D44" s="1"/>
  <c r="E33"/>
  <c r="E43" s="1"/>
  <c r="E44" s="1"/>
  <c r="E71"/>
  <c r="R12" i="5"/>
  <c r="N32"/>
  <c r="Q32" s="1"/>
  <c r="R32" s="1"/>
  <c r="O40"/>
  <c r="M40"/>
  <c r="K40"/>
  <c r="I40"/>
  <c r="G17"/>
  <c r="E40"/>
  <c r="K29" i="4"/>
  <c r="K32" s="1"/>
  <c r="I29"/>
  <c r="I32" s="1"/>
  <c r="F29"/>
  <c r="F32" s="1"/>
  <c r="E15"/>
  <c r="C43" i="3"/>
  <c r="C45" s="1"/>
  <c r="C15" i="4"/>
  <c r="J15"/>
  <c r="J29" s="1"/>
  <c r="J32" s="1"/>
  <c r="M15"/>
  <c r="M29" s="1"/>
  <c r="M32" s="1"/>
  <c r="H33" i="2"/>
  <c r="R13" i="5"/>
  <c r="E29" i="4"/>
  <c r="E32" s="1"/>
  <c r="C33" i="2"/>
  <c r="D97" i="6"/>
  <c r="R16" i="5"/>
  <c r="C29" i="4"/>
  <c r="C93" i="1"/>
  <c r="C94" s="1"/>
  <c r="E52" i="6"/>
  <c r="C30" i="2" l="1"/>
  <c r="H34"/>
  <c r="D30"/>
  <c r="H30"/>
  <c r="G30"/>
  <c r="G40" i="5"/>
  <c r="J17"/>
  <c r="L15" i="4"/>
  <c r="D39" i="2"/>
  <c r="D34"/>
  <c r="H39" s="1"/>
  <c r="C39"/>
  <c r="C42" s="1"/>
  <c r="C34"/>
  <c r="L29" i="4"/>
  <c r="C32"/>
  <c r="L32" s="1"/>
  <c r="G34" i="2"/>
  <c r="G39" s="1"/>
  <c r="J40" i="5" l="1"/>
  <c r="R17"/>
  <c r="R40" s="1"/>
  <c r="D41" i="2"/>
  <c r="H42"/>
  <c r="H41"/>
  <c r="D42"/>
  <c r="G41"/>
  <c r="G42"/>
  <c r="C41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<sst xmlns="http://schemas.openxmlformats.org/spreadsheetml/2006/main" count="1061" uniqueCount="874">
  <si>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</si>
  <si>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</si>
  <si>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</si>
  <si>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</si>
  <si>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</si>
  <si>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</si>
  <si>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</si>
  <si>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</si>
  <si>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</si>
  <si>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</si>
  <si>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</si>
  <si>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</si>
  <si>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</si>
  <si>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</si>
  <si>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</si>
  <si>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</si>
  <si>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</si>
  <si>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</si>
  <si>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</si>
  <si>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</si>
  <si>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</si>
  <si>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</si>
  <si>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</si>
  <si>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</si>
  <si>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</si>
  <si>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</si>
  <si>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</si>
  <si>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</si>
  <si>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</si>
  <si>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</si>
  <si>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</si>
  <si>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</si>
  <si>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</si>
  <si>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</si>
  <si>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</si>
  <si>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</si>
  <si>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</si>
  <si>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</si>
  <si>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</si>
  <si>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</si>
  <si>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</si>
  <si>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</si>
  <si>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</si>
  <si>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</si>
  <si>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</si>
  <si>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</si>
  <si>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</si>
  <si>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</si>
  <si>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</si>
  <si>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</si>
  <si>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</si>
  <si>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</si>
  <si>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</si>
  <si>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</si>
  <si>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</si>
  <si>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</si>
  <si>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</si>
  <si>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</si>
  <si>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</si>
  <si>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</si>
  <si>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</si>
  <si>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</si>
  <si>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</si>
  <si>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</si>
  <si>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</si>
  <si>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</si>
  <si>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</si>
  <si>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</si>
  <si>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</si>
  <si>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</si>
  <si>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</si>
  <si>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</si>
  <si>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</si>
  <si>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</si>
  <si>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</si>
  <si>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</si>
  <si>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</si>
  <si>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</si>
  <si>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</si>
  <si>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</si>
  <si>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</si>
  <si>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</si>
  <si>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</si>
  <si>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</si>
  <si>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</si>
  <si>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</si>
  <si>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</si>
  <si>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</si>
  <si>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</si>
  <si>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</si>
  <si>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</si>
  <si>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</si>
  <si>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</si>
  <si>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</si>
  <si>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</si>
  <si>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</si>
  <si>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</si>
  <si>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</si>
  <si>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</si>
  <si>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</si>
  <si>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</si>
  <si>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</si>
  <si>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</si>
  <si>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</si>
  <si>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</si>
  <si>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</si>
  <si>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</si>
  <si>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</si>
  <si>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</si>
  <si>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</si>
  <si>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</si>
  <si>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</si>
  <si>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</si>
  <si>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</si>
  <si>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</si>
  <si>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</si>
  <si>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</si>
  <si>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</si>
  <si>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</si>
  <si>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</si>
  <si>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</si>
  <si>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</si>
  <si>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</si>
  <si>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</si>
  <si>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</si>
  <si>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</si>
  <si>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</si>
  <si>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</si>
  <si>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</si>
  <si>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</si>
  <si>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</si>
  <si>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</si>
  <si>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</si>
  <si>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</si>
  <si>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</si>
  <si>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</si>
  <si>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</si>
  <si>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</si>
  <si>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</si>
  <si>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</si>
  <si>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</si>
  <si>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</si>
  <si>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</si>
  <si>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</si>
  <si>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</si>
  <si>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</si>
  <si>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</si>
  <si>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</si>
  <si>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</si>
  <si>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</si>
  <si>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</si>
  <si>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</si>
  <si>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</si>
  <si>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</si>
  <si>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</si>
  <si>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</si>
  <si>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</si>
  <si>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</si>
  <si>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</si>
  <si>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</si>
  <si>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</si>
  <si>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</si>
  <si>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</si>
  <si>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</si>
  <si>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</si>
  <si>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</si>
  <si>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</si>
  <si>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</si>
  <si>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</si>
  <si>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</si>
  <si>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</si>
  <si>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</si>
  <si>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</si>
  <si>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</si>
  <si>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</si>
  <si>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</si>
  <si>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</si>
  <si>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</si>
  <si>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</si>
  <si>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</si>
  <si>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</si>
  <si>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</si>
  <si>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</si>
  <si>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</si>
  <si>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</si>
  <si>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</si>
  <si>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</si>
  <si>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</si>
  <si>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</si>
  <si>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</si>
  <si>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</si>
  <si>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</si>
  <si>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</si>
  <si>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</si>
  <si>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</si>
  <si>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</si>
  <si>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</si>
  <si>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</si>
  <si>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</si>
  <si>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</si>
  <si>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</si>
  <si>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</si>
  <si>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</si>
  <si>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</si>
  <si>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</si>
  <si>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</si>
  <si>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</si>
  <si>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</si>
  <si>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</si>
  <si>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</si>
  <si>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</si>
  <si>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</si>
  <si>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</si>
  <si>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</si>
  <si>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</si>
  <si>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</si>
  <si>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</si>
  <si>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</si>
  <si>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</si>
  <si>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</si>
  <si>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</si>
  <si>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</si>
  <si>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</si>
  <si>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</si>
  <si>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</si>
  <si>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</si>
  <si>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</si>
  <si>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</si>
  <si>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</si>
  <si>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</si>
  <si>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</si>
  <si>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</si>
  <si>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</si>
  <si>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</si>
  <si>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</si>
  <si>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</si>
  <si>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</si>
  <si>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</si>
  <si>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</si>
  <si>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</si>
  <si>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</si>
  <si>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</si>
  <si>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</si>
  <si>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</si>
  <si>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</si>
  <si>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</si>
  <si>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</si>
  <si>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</si>
  <si>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</si>
  <si>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</si>
  <si>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</si>
  <si>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</si>
  <si>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</si>
  <si>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</si>
  <si>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</si>
  <si>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</si>
  <si>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</si>
  <si>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</si>
  <si>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</si>
  <si>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</si>
  <si>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</si>
  <si>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</si>
  <si>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</si>
  <si>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</si>
  <si>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</si>
  <si>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</si>
  <si>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</si>
  <si>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</si>
  <si>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</si>
  <si>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</si>
  <si>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</si>
  <si>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</si>
  <si>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</si>
  <si>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</si>
  <si>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</si>
  <si>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</si>
  <si>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</si>
  <si>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</si>
  <si>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</si>
  <si>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</si>
  <si>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</si>
  <si>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</si>
  <si>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</si>
  <si>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</si>
  <si>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</si>
  <si>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</si>
  <si>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</si>
  <si>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</si>
  <si>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</si>
  <si>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</si>
  <si>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</si>
  <si>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</si>
  <si>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</si>
  <si>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</si>
  <si>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</si>
  <si>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</si>
  <si>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</si>
  <si>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</si>
  <si>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</si>
  <si>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</si>
  <si>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</si>
  <si>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</si>
  <si>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</si>
  <si>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</si>
  <si>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</si>
  <si>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</si>
  <si>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</si>
  <si>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</si>
  <si>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</si>
  <si>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</si>
  <si>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</si>
  <si>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</si>
  <si>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</si>
  <si>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</si>
  <si>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</si>
  <si>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</si>
  <si>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</si>
  <si>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</si>
  <si>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</si>
  <si>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</si>
  <si>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</si>
  <si>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</si>
  <si>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</si>
  <si>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</si>
  <si>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</si>
  <si>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</si>
  <si>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</si>
  <si>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</si>
  <si>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</si>
  <si>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</si>
  <si>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</si>
  <si>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</si>
  <si>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</si>
  <si>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</si>
  <si>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</si>
  <si>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</si>
  <si>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</si>
  <si>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</si>
  <si>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</si>
  <si>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</si>
  <si>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</si>
  <si>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</si>
  <si>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</si>
  <si>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</si>
  <si>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</si>
  <si>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</si>
  <si>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</si>
  <si>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</si>
  <si>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</si>
  <si>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</si>
  <si>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</si>
  <si>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</si>
  <si>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</si>
  <si>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</si>
  <si>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</si>
  <si>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</si>
  <si>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</si>
  <si>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</si>
  <si>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</si>
  <si>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</si>
  <si>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</si>
  <si>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</si>
  <si>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</si>
  <si>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</si>
  <si>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</si>
  <si>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</si>
  <si>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</si>
  <si>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</si>
  <si>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</si>
  <si>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</si>
  <si>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</si>
  <si>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</si>
  <si>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</si>
  <si>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</si>
  <si>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</si>
  <si>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</si>
  <si>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</si>
  <si>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</si>
  <si>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</si>
  <si>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</si>
  <si>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</si>
  <si>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</si>
  <si>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</si>
  <si>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</si>
  <si>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</si>
  <si>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</si>
  <si>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</si>
  <si>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</si>
  <si>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</si>
  <si>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</si>
  <si>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</si>
  <si>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</si>
  <si>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</si>
  <si>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</si>
  <si>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</si>
  <si>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</si>
  <si>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</si>
  <si>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</si>
  <si>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</si>
  <si>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</si>
  <si>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</si>
  <si>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</si>
  <si>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</si>
  <si>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</si>
  <si>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</si>
  <si>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</si>
  <si>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</si>
  <si>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</si>
  <si>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</si>
  <si>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</si>
  <si>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</si>
  <si>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</si>
  <si>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</si>
  <si>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</si>
  <si>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</si>
  <si>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</si>
  <si>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</si>
  <si>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</si>
  <si>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</si>
  <si>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</si>
  <si>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</si>
  <si>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</si>
  <si>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</si>
  <si>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</si>
  <si>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</si>
  <si>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</si>
  <si>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</si>
  <si>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</si>
  <si>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</si>
  <si>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</si>
  <si>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</si>
  <si>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</si>
  <si>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</si>
  <si>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</si>
  <si>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</si>
  <si>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</si>
  <si>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</si>
  <si>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</si>
  <si>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</si>
  <si>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</si>
  <si>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</si>
  <si>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</si>
  <si>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</si>
  <si>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</si>
  <si>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</si>
  <si>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</si>
  <si>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</si>
  <si>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</si>
  <si>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</si>
  <si>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</si>
  <si>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</si>
  <si>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</si>
  <si>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</si>
  <si>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</si>
  <si>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</si>
  <si>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</si>
  <si>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</si>
  <si>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</si>
  <si>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</si>
  <si>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</si>
  <si>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</si>
  <si>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</si>
  <si>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</si>
  <si>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</si>
  <si>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</si>
  <si>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</si>
  <si>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</si>
  <si>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</si>
  <si>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</si>
  <si>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</si>
  <si>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</si>
  <si>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</si>
  <si>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</si>
  <si>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</si>
  <si>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</si>
  <si>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</si>
  <si>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</si>
  <si>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</si>
  <si>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</si>
  <si>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</si>
  <si>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</si>
  <si>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</si>
  <si>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</si>
  <si>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</si>
  <si>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</si>
  <si>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</si>
  <si>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</si>
  <si>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</si>
  <si>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</si>
  <si>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</si>
  <si>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</si>
  <si>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</si>
  <si>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</si>
  <si>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</si>
  <si>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</si>
  <si>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</si>
  <si>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</si>
  <si>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</si>
  <si>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</si>
  <si>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</si>
  <si>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</si>
  <si>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</si>
  <si>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</si>
  <si>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</si>
  <si>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</si>
  <si>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</si>
  <si>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</si>
  <si>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</si>
  <si>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</si>
  <si>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</si>
  <si>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</si>
  <si>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</si>
  <si>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</si>
  <si>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</si>
  <si>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</si>
  <si>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</si>
  <si>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</si>
  <si>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</si>
  <si>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</si>
  <si>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</si>
  <si>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</si>
  <si>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</si>
  <si>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</si>
  <si>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</si>
  <si>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</si>
  <si>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</si>
  <si>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</si>
  <si>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</si>
  <si>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</si>
  <si>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</si>
  <si>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</si>
  <si>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</si>
  <si>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</si>
  <si>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</si>
  <si>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</si>
  <si>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</si>
  <si>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</si>
  <si>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</si>
  <si>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</si>
  <si>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</si>
  <si>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</si>
  <si>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</si>
  <si>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</si>
  <si>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</si>
  <si>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</si>
  <si>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</si>
  <si>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</si>
  <si>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</si>
  <si>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</si>
  <si>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</si>
  <si>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</si>
  <si>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</si>
  <si>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</si>
  <si>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</si>
  <si>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</si>
  <si>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</si>
  <si>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</si>
  <si>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</si>
  <si>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</si>
  <si>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</si>
  <si>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</si>
  <si>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</si>
  <si>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</si>
  <si>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</si>
  <si>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</si>
  <si>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</si>
  <si>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</si>
  <si>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</si>
  <si>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</si>
  <si>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</si>
  <si>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</si>
  <si>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</si>
  <si>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</si>
  <si>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</si>
  <si>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</si>
  <si>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</si>
  <si>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</si>
  <si>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</si>
  <si>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</si>
  <si>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</si>
  <si>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</si>
  <si>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</si>
  <si>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</si>
  <si>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</si>
  <si>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</si>
  <si>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</si>
  <si>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</si>
  <si>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</si>
  <si>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</si>
  <si>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</si>
  <si>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</si>
  <si>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</si>
  <si>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</si>
  <si>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</si>
  <si>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</si>
  <si>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</si>
  <si>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</si>
  <si>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</si>
  <si>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</si>
  <si>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</si>
  <si>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</si>
  <si>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</si>
  <si>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</si>
  <si>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</si>
  <si>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</si>
  <si>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</si>
  <si>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</si>
  <si>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</si>
  <si>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</si>
  <si>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</si>
  <si>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</si>
  <si>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</si>
  <si>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</si>
  <si>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</si>
  <si>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</si>
  <si>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</si>
  <si>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</si>
  <si>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</si>
  <si>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</si>
  <si>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</si>
  <si>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</si>
  <si>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</si>
  <si>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</si>
  <si>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</si>
  <si>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</si>
  <si>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</si>
  <si>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</si>
  <si>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</si>
  <si>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</si>
  <si>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</si>
  <si>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</si>
  <si>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</si>
  <si>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</si>
  <si>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</si>
  <si>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</si>
  <si>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</si>
  <si>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</si>
  <si>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</si>
  <si>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</si>
  <si>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</si>
  <si>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</si>
  <si>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</si>
  <si>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</si>
  <si>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</si>
  <si>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</si>
  <si>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</si>
  <si>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</si>
  <si>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</si>
  <si>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</si>
  <si>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</si>
  <si>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</si>
  <si>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</si>
  <si>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</si>
  <si>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</si>
  <si>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</si>
  <si>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</si>
  <si>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</si>
  <si>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</si>
  <si>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</si>
  <si>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</si>
  <si>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</si>
  <si>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</si>
  <si>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</si>
  <si>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</si>
  <si>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</si>
  <si>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</si>
  <si>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</si>
  <si>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</si>
  <si>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</si>
  <si>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</si>
  <si>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</si>
  <si>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</si>
  <si>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</si>
  <si>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</si>
  <si>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</si>
  <si>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</si>
  <si>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</si>
  <si>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</si>
  <si>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</si>
  <si>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</si>
  <si>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</si>
  <si>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</si>
  <si>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</si>
  <si>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</si>
  <si>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</si>
  <si>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</si>
  <si>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</si>
  <si>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</si>
  <si>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</si>
  <si>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</si>
  <si>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</si>
  <si>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</si>
  <si>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</si>
  <si>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</si>
  <si>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</si>
  <si>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</si>
  <si>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</si>
  <si>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</si>
  <si>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</si>
  <si>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</si>
  <si>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</si>
  <si>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</si>
  <si>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</si>
  <si>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</si>
  <si>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</si>
  <si>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</si>
  <si>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</si>
  <si>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</si>
  <si>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</si>
  <si>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</si>
  <si>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</si>
  <si>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</si>
  <si>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</si>
  <si>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</si>
  <si>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</si>
  <si>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</si>
  <si>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</si>
  <si>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</si>
  <si>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</si>
  <si>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</si>
  <si>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</si>
  <si>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</si>
  <si>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</si>
  <si>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</si>
  <si>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</si>
  <si>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</si>
  <si>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</si>
  <si>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</si>
  <si>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</si>
  <si>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</si>
  <si>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</si>
  <si>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</si>
  <si>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</si>
  <si>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</si>
  <si>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</si>
  <si>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</si>
  <si>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</si>
  <si>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</si>
  <si>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</si>
  <si>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</si>
  <si>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</si>
  <si>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</si>
  <si>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</si>
  <si>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</si>
  <si>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</si>
  <si>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</si>
  <si>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</si>
  <si>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</si>
  <si>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</si>
  <si>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</si>
  <si>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</si>
  <si>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</si>
  <si>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</si>
  <si>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</si>
  <si>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</si>
  <si>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</si>
  <si>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</si>
  <si>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</si>
  <si>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</si>
  <si>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</si>
  <si>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</si>
  <si>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</si>
  <si>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</si>
  <si>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</si>
  <si>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</si>
  <si>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</si>
  <si>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</si>
  <si>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</si>
  <si>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</si>
  <si>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</si>
  <si>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</si>
  <si>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</si>
  <si>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</si>
  <si>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</si>
  <si>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</si>
  <si>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</si>
  <si>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</si>
  <si>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</si>
  <si>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</si>
  <si>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</si>
  <si>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</si>
  <si>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</si>
  <si>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</si>
  <si>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</si>
  <si>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</si>
  <si>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</si>
  <si>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</si>
  <si>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</si>
  <si>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</si>
  <si>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</si>
  <si>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</si>
  <si>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</si>
  <si>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</si>
  <si>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</si>
  <si>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</si>
  <si>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</si>
  <si>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</si>
  <si>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</si>
  <si>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</si>
  <si>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</si>
  <si>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</si>
  <si>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</si>
  <si>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</si>
  <si>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</si>
  <si>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</si>
  <si>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</si>
  <si>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</si>
  <si>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</si>
  <si>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</si>
  <si>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</si>
  <si>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</si>
  <si>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</si>
  <si>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</si>
  <si>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</si>
  <si>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</si>
  <si>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</si>
  <si>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</si>
  <si>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</si>
  <si>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</si>
  <si>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</si>
  <si>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</si>
  <si>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</si>
  <si>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</si>
  <si>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</si>
  <si>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</si>
  <si>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</si>
  <si>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</si>
  <si>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</si>
  <si>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</si>
  <si>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</si>
  <si>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</si>
  <si>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</si>
  <si>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</si>
  <si>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</si>
  <si>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</si>
  <si>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</si>
  <si>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</si>
  <si>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</si>
  <si>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</si>
  <si>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</si>
  <si>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</si>
  <si>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</si>
  <si>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</si>
  <si>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</si>
  <si>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</si>
  <si>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</si>
  <si>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</si>
  <si>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</si>
  <si>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</si>
  <si>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</si>
  <si>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</si>
  <si>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</si>
  <si>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</si>
  <si>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</si>
  <si>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</si>
  <si>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</si>
  <si>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</si>
  <si>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</si>
  <si>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</si>
  <si>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</si>
  <si>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</si>
  <si>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</si>
  <si>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</si>
  <si>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</si>
  <si>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</si>
  <si>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"ЕКО ДРАЧЕВО" ООД</t>
  </si>
  <si>
    <t>неконсолидиран</t>
  </si>
  <si>
    <t>01.01.-30.06.2016 год.</t>
  </si>
  <si>
    <r>
      <t xml:space="preserve">Дата на съставяне: </t>
    </r>
    <r>
      <rPr>
        <sz val="10"/>
        <rFont val="Times New Roman"/>
        <family val="1"/>
        <charset val="204"/>
      </rPr>
      <t>27.07.2016</t>
    </r>
  </si>
  <si>
    <t>Дата на съставяне: 27.07.2016</t>
  </si>
  <si>
    <t xml:space="preserve">Дата на съставяне: 27.07.2016                         </t>
  </si>
  <si>
    <t xml:space="preserve">Дата  на съставяне: 27.07.2016                                                                                                                                </t>
  </si>
  <si>
    <t xml:space="preserve">Дата на съставяне:           27.07.2016                            </t>
  </si>
  <si>
    <t>Дата на съставяне:  27.07.2016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</si>
</sst>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  <xf numFmtId="14" fontId="9" fillId="0" borderId="0" xfId="0" applyNumberFormat="1" applyFont="1" applyBorder="1" applyAlignment="1" applyProtection="1">
      <alignment horizontal="left" vertical="top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186"/>
  <sheetViews>
    <sheetView tabSelected="1" topLeftCell="A87" workbookViewId="0">
      <selection activeCell="A99" sqref="A99"/>
    </sheetView>
  </sheetViews>
  <sheetFormatPr defaultColWidth="9.33203125" defaultRowHeight="13.2"/>
  <cols>
    <col min="1" max="1" width="43.6640625" style="169" customWidth="1"/>
    <col min="2" max="2" width="9.88671875" style="169" customWidth="1"/>
    <col min="3" max="3" width="11.109375" style="169" customWidth="1"/>
    <col min="4" max="4" width="14" style="169" customWidth="1"/>
    <col min="5" max="5" width="70.6640625" style="169" customWidth="1"/>
    <col min="6" max="6" width="9.44140625" style="174" customWidth="1"/>
    <col min="7" max="7" width="12.6640625" style="169" customWidth="1"/>
    <col min="8" max="8" width="18.6640625" style="175" customWidth="1"/>
    <col min="9" max="9" width="3.44140625" style="149" customWidth="1"/>
    <col min="10" max="16384" width="9.33203125" style="149"/>
  </cols>
  <sheetData>
    <row r="1" spans="1:8" ht="13.8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3.8">
      <c r="A2" s="215"/>
      <c r="B2" s="215"/>
      <c r="C2" s="216"/>
      <c r="D2" s="216"/>
      <c r="E2" s="216"/>
      <c r="F2" s="170"/>
      <c r="G2" s="171"/>
      <c r="H2" s="172"/>
    </row>
    <row r="3" spans="1:8" ht="13.8">
      <c r="A3" s="575" t="s">
        <v>1</v>
      </c>
      <c r="B3" s="576"/>
      <c r="C3" s="576"/>
      <c r="D3" s="576"/>
      <c r="E3" s="462" t="s">
        <v>865</v>
      </c>
      <c r="F3" s="217" t="s">
        <v>2</v>
      </c>
      <c r="G3" s="172"/>
      <c r="H3" s="461">
        <v>200835689</v>
      </c>
    </row>
    <row r="4" spans="1:8" ht="13.8">
      <c r="A4" s="575" t="s">
        <v>3</v>
      </c>
      <c r="B4" s="581"/>
      <c r="C4" s="581"/>
      <c r="D4" s="581"/>
      <c r="E4" s="504" t="s">
        <v>866</v>
      </c>
      <c r="F4" s="577" t="s">
        <v>4</v>
      </c>
      <c r="G4" s="578"/>
      <c r="H4" s="461" t="s">
        <v>159</v>
      </c>
    </row>
    <row r="5" spans="1:8" ht="13.8">
      <c r="A5" s="575" t="s">
        <v>5</v>
      </c>
      <c r="B5" s="576"/>
      <c r="C5" s="576"/>
      <c r="D5" s="576"/>
      <c r="E5" s="505" t="s">
        <v>867</v>
      </c>
      <c r="F5" s="170"/>
      <c r="G5" s="171"/>
      <c r="H5" s="219" t="s">
        <v>6</v>
      </c>
    </row>
    <row r="6" spans="1:8" ht="14.4" thickBot="1">
      <c r="A6" s="150"/>
      <c r="B6" s="150"/>
      <c r="C6" s="218"/>
      <c r="D6" s="219"/>
      <c r="E6" s="219"/>
      <c r="F6" s="170"/>
      <c r="G6" s="171"/>
      <c r="H6" s="219"/>
    </row>
    <row r="7" spans="1:8" ht="27.6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3.8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3.8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3.8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3.8">
      <c r="A11" s="235" t="s">
        <v>20</v>
      </c>
      <c r="B11" s="241" t="s">
        <v>21</v>
      </c>
      <c r="C11" s="151">
        <v>28</v>
      </c>
      <c r="D11" s="151">
        <v>28</v>
      </c>
      <c r="E11" s="237" t="s">
        <v>22</v>
      </c>
      <c r="F11" s="242" t="s">
        <v>23</v>
      </c>
      <c r="G11" s="152">
        <v>16</v>
      </c>
      <c r="H11" s="152">
        <v>16</v>
      </c>
    </row>
    <row r="12" spans="1:8" ht="13.8">
      <c r="A12" s="235" t="s">
        <v>24</v>
      </c>
      <c r="B12" s="241" t="s">
        <v>25</v>
      </c>
      <c r="C12" s="151">
        <v>68</v>
      </c>
      <c r="D12" s="151">
        <v>76</v>
      </c>
      <c r="E12" s="237" t="s">
        <v>26</v>
      </c>
      <c r="F12" s="242" t="s">
        <v>27</v>
      </c>
      <c r="G12" s="153"/>
      <c r="H12" s="153"/>
    </row>
    <row r="13" spans="1:8" ht="13.8">
      <c r="A13" s="235" t="s">
        <v>28</v>
      </c>
      <c r="B13" s="241" t="s">
        <v>29</v>
      </c>
      <c r="C13" s="151"/>
      <c r="D13" s="151"/>
      <c r="E13" s="237" t="s">
        <v>30</v>
      </c>
      <c r="F13" s="242" t="s">
        <v>31</v>
      </c>
      <c r="G13" s="153"/>
      <c r="H13" s="153"/>
    </row>
    <row r="14" spans="1:8" ht="13.8">
      <c r="A14" s="235" t="s">
        <v>32</v>
      </c>
      <c r="B14" s="241" t="s">
        <v>33</v>
      </c>
      <c r="C14" s="151">
        <v>12772</v>
      </c>
      <c r="D14" s="151">
        <f>13369-225</f>
        <v>13144</v>
      </c>
      <c r="E14" s="243" t="s">
        <v>34</v>
      </c>
      <c r="F14" s="242" t="s">
        <v>35</v>
      </c>
      <c r="G14" s="316"/>
      <c r="H14" s="316"/>
    </row>
    <row r="15" spans="1:8" ht="13.8">
      <c r="A15" s="235" t="s">
        <v>36</v>
      </c>
      <c r="B15" s="241" t="s">
        <v>37</v>
      </c>
      <c r="C15" s="151">
        <v>29</v>
      </c>
      <c r="D15" s="151">
        <v>35</v>
      </c>
      <c r="E15" s="243" t="s">
        <v>38</v>
      </c>
      <c r="F15" s="242" t="s">
        <v>39</v>
      </c>
      <c r="G15" s="316"/>
      <c r="H15" s="316"/>
    </row>
    <row r="16" spans="1:8" ht="13.8">
      <c r="A16" s="235" t="s">
        <v>40</v>
      </c>
      <c r="B16" s="244" t="s">
        <v>41</v>
      </c>
      <c r="C16" s="151">
        <v>83</v>
      </c>
      <c r="D16" s="151">
        <v>86</v>
      </c>
      <c r="E16" s="243" t="s">
        <v>42</v>
      </c>
      <c r="F16" s="242" t="s">
        <v>43</v>
      </c>
      <c r="G16" s="316"/>
      <c r="H16" s="316"/>
    </row>
    <row r="17" spans="1:18" ht="26.4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16</v>
      </c>
      <c r="H17" s="154">
        <f>H11+H14+H15+H16</f>
        <v>16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4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3.8">
      <c r="A19" s="235" t="s">
        <v>51</v>
      </c>
      <c r="B19" s="249" t="s">
        <v>52</v>
      </c>
      <c r="C19" s="155">
        <f>SUM(C11:C18)</f>
        <v>12980</v>
      </c>
      <c r="D19" s="155">
        <f>SUM(D11:D18)</f>
        <v>13369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3.8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3.8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1510</v>
      </c>
      <c r="H21" s="156">
        <f>SUM(H22:H24)</f>
        <v>1795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3.8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3.8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3.8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>
        <v>1510</v>
      </c>
      <c r="H24" s="152">
        <v>1795</v>
      </c>
    </row>
    <row r="25" spans="1:18" ht="13.8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1510</v>
      </c>
      <c r="H25" s="154">
        <f>H19+H20+H21</f>
        <v>1795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4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3.8">
      <c r="A27" s="235" t="s">
        <v>81</v>
      </c>
      <c r="B27" s="250" t="s">
        <v>82</v>
      </c>
      <c r="C27" s="155">
        <f>SUM(C23:C26)</f>
        <v>0</v>
      </c>
      <c r="D27" s="155">
        <f>SUM(D23:D26)</f>
        <v>0</v>
      </c>
      <c r="E27" s="253" t="s">
        <v>83</v>
      </c>
      <c r="F27" s="242" t="s">
        <v>84</v>
      </c>
      <c r="G27" s="154">
        <f>SUM(G28:G30)</f>
        <v>1656</v>
      </c>
      <c r="H27" s="154">
        <f>SUM(H28:H30)</f>
        <v>1167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3.8">
      <c r="A28" s="235"/>
      <c r="B28" s="241"/>
      <c r="C28" s="252"/>
      <c r="D28" s="155"/>
      <c r="E28" s="237" t="s">
        <v>85</v>
      </c>
      <c r="F28" s="242" t="s">
        <v>86</v>
      </c>
      <c r="G28" s="152">
        <v>1656</v>
      </c>
      <c r="H28" s="152">
        <v>1167</v>
      </c>
    </row>
    <row r="29" spans="1:18" ht="13.8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3.8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3.8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670</v>
      </c>
      <c r="H31" s="152">
        <v>882</v>
      </c>
      <c r="M31" s="157"/>
    </row>
    <row r="32" spans="1:18" ht="13.8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3.8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2326</v>
      </c>
      <c r="H33" s="154">
        <f>H27+H31+H32</f>
        <v>2049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3.8">
      <c r="A34" s="235" t="s">
        <v>851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3.8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3.8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3852</v>
      </c>
      <c r="H36" s="154">
        <f>H25+H17+H33</f>
        <v>3860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3.8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3.8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3.8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3.8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3.8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3.8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3.8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3.8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10270</v>
      </c>
      <c r="H44" s="152">
        <f>9426+984</f>
        <v>10410</v>
      </c>
    </row>
    <row r="45" spans="1:18" ht="13.8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3.8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3.8">
      <c r="A47" s="235" t="s">
        <v>143</v>
      </c>
      <c r="B47" s="241" t="s">
        <v>144</v>
      </c>
      <c r="C47" s="151">
        <v>391</v>
      </c>
      <c r="D47" s="151"/>
      <c r="E47" s="251" t="s">
        <v>145</v>
      </c>
      <c r="F47" s="242" t="s">
        <v>146</v>
      </c>
      <c r="G47" s="152"/>
      <c r="H47" s="152"/>
      <c r="M47" s="157"/>
    </row>
    <row r="48" spans="1:18" ht="13.8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3.8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10270</v>
      </c>
      <c r="H49" s="154">
        <f>SUM(H43:H48)</f>
        <v>10410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3.8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3.8">
      <c r="A51" s="235" t="s">
        <v>155</v>
      </c>
      <c r="B51" s="249" t="s">
        <v>156</v>
      </c>
      <c r="C51" s="155">
        <f>SUM(C47:C50)</f>
        <v>391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3.8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3.8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3.8">
      <c r="A54" s="235" t="s">
        <v>166</v>
      </c>
      <c r="B54" s="249" t="s">
        <v>167</v>
      </c>
      <c r="C54" s="151"/>
      <c r="D54" s="151"/>
      <c r="E54" s="237" t="s">
        <v>168</v>
      </c>
      <c r="F54" s="245" t="s">
        <v>169</v>
      </c>
      <c r="G54" s="152"/>
      <c r="H54" s="152"/>
    </row>
    <row r="55" spans="1:18" ht="26.4">
      <c r="A55" s="269" t="s">
        <v>170</v>
      </c>
      <c r="B55" s="270" t="s">
        <v>171</v>
      </c>
      <c r="C55" s="155">
        <f>C19+C20+C21+C27+C32+C45+C51+C53+C54</f>
        <v>13371</v>
      </c>
      <c r="D55" s="155">
        <f>D19+D20+D21+D27+D32+D45+D51+D53+D54</f>
        <v>13369</v>
      </c>
      <c r="E55" s="237" t="s">
        <v>172</v>
      </c>
      <c r="F55" s="261" t="s">
        <v>173</v>
      </c>
      <c r="G55" s="154">
        <f>G49+G51+G52+G53+G54</f>
        <v>10270</v>
      </c>
      <c r="H55" s="154">
        <f>H49+H51+H52+H53+H54</f>
        <v>10410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3.8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3.8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3.8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3.8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/>
      <c r="H59" s="152"/>
      <c r="M59" s="157"/>
    </row>
    <row r="60" spans="1:18" ht="13.8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3.8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324</v>
      </c>
      <c r="H61" s="154">
        <f>SUM(H62:H68)</f>
        <v>328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3.8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/>
      <c r="H62" s="152"/>
    </row>
    <row r="63" spans="1:18" ht="13.8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3.8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>
        <v>154</v>
      </c>
      <c r="H64" s="152">
        <v>264</v>
      </c>
      <c r="I64" s="290"/>
      <c r="J64" s="290"/>
      <c r="K64" s="290"/>
      <c r="L64" s="290"/>
      <c r="M64" s="290"/>
      <c r="N64" s="290"/>
      <c r="O64" s="290"/>
    </row>
    <row r="65" spans="1:18" ht="13.8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3.8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5</v>
      </c>
      <c r="H66" s="152">
        <v>6</v>
      </c>
    </row>
    <row r="67" spans="1:18" ht="13.8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>
        <v>1</v>
      </c>
      <c r="H67" s="152">
        <v>1</v>
      </c>
    </row>
    <row r="68" spans="1:18" ht="13.8">
      <c r="A68" s="235" t="s">
        <v>211</v>
      </c>
      <c r="B68" s="241" t="s">
        <v>212</v>
      </c>
      <c r="C68" s="151">
        <v>480</v>
      </c>
      <c r="D68" s="151">
        <v>136</v>
      </c>
      <c r="E68" s="237" t="s">
        <v>213</v>
      </c>
      <c r="F68" s="242" t="s">
        <v>214</v>
      </c>
      <c r="G68" s="152">
        <v>164</v>
      </c>
      <c r="H68" s="152">
        <v>57</v>
      </c>
    </row>
    <row r="69" spans="1:18" ht="13.8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/>
      <c r="H69" s="152"/>
    </row>
    <row r="70" spans="1:18" ht="13.8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3.8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324</v>
      </c>
      <c r="H71" s="161">
        <f>H59+H60+H61+H69+H70</f>
        <v>328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3.8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3.8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3.8">
      <c r="A74" s="235" t="s">
        <v>229</v>
      </c>
      <c r="B74" s="241" t="s">
        <v>230</v>
      </c>
      <c r="C74" s="151"/>
      <c r="D74" s="151">
        <v>15</v>
      </c>
      <c r="E74" s="237" t="s">
        <v>231</v>
      </c>
      <c r="F74" s="280" t="s">
        <v>232</v>
      </c>
      <c r="G74" s="152"/>
      <c r="H74" s="152"/>
    </row>
    <row r="75" spans="1:18" ht="13.8">
      <c r="A75" s="235" t="s">
        <v>76</v>
      </c>
      <c r="B75" s="249" t="s">
        <v>233</v>
      </c>
      <c r="C75" s="155">
        <f>SUM(C67:C74)</f>
        <v>480</v>
      </c>
      <c r="D75" s="155">
        <f>SUM(D67:D74)</f>
        <v>151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3.8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3.8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3.8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3.8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324</v>
      </c>
      <c r="H79" s="162">
        <f>H71+H74+H75+H76</f>
        <v>328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3.8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3.8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3.8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3.8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3.8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3.8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3.8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3.8">
      <c r="A87" s="235" t="s">
        <v>254</v>
      </c>
      <c r="B87" s="241" t="s">
        <v>255</v>
      </c>
      <c r="C87" s="151">
        <v>235</v>
      </c>
      <c r="D87" s="151">
        <v>260</v>
      </c>
      <c r="E87" s="163"/>
      <c r="F87" s="285"/>
      <c r="G87" s="285"/>
      <c r="H87" s="286"/>
      <c r="M87" s="157"/>
    </row>
    <row r="88" spans="1:18" ht="13.8">
      <c r="A88" s="235" t="s">
        <v>256</v>
      </c>
      <c r="B88" s="241" t="s">
        <v>257</v>
      </c>
      <c r="C88" s="151">
        <v>131</v>
      </c>
      <c r="D88" s="151">
        <v>198</v>
      </c>
      <c r="E88" s="263"/>
      <c r="F88" s="285"/>
      <c r="G88" s="285"/>
      <c r="H88" s="286"/>
    </row>
    <row r="89" spans="1:18" ht="13.8">
      <c r="A89" s="235" t="s">
        <v>258</v>
      </c>
      <c r="B89" s="241" t="s">
        <v>259</v>
      </c>
      <c r="C89" s="151">
        <v>226</v>
      </c>
      <c r="D89" s="151">
        <v>615</v>
      </c>
      <c r="E89" s="263"/>
      <c r="F89" s="285"/>
      <c r="G89" s="285"/>
      <c r="H89" s="286"/>
      <c r="M89" s="157"/>
    </row>
    <row r="90" spans="1:18" ht="13.8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3.8">
      <c r="A91" s="235" t="s">
        <v>262</v>
      </c>
      <c r="B91" s="249" t="s">
        <v>263</v>
      </c>
      <c r="C91" s="155">
        <f>SUM(C87:C90)</f>
        <v>592</v>
      </c>
      <c r="D91" s="155">
        <f>SUM(D87:D90)</f>
        <v>1073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3.8">
      <c r="A92" s="235" t="s">
        <v>264</v>
      </c>
      <c r="B92" s="249" t="s">
        <v>265</v>
      </c>
      <c r="C92" s="151">
        <v>3</v>
      </c>
      <c r="D92" s="151">
        <v>5</v>
      </c>
      <c r="E92" s="263"/>
      <c r="F92" s="285"/>
      <c r="G92" s="285"/>
      <c r="H92" s="286"/>
    </row>
    <row r="93" spans="1:18" ht="13.8">
      <c r="A93" s="235" t="s">
        <v>266</v>
      </c>
      <c r="B93" s="287" t="s">
        <v>267</v>
      </c>
      <c r="C93" s="155">
        <f>C64+C75+C84+C91+C92</f>
        <v>1075</v>
      </c>
      <c r="D93" s="155">
        <f>D64+D75+D84+D91+D92</f>
        <v>1229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7" thickBot="1">
      <c r="A94" s="448" t="s">
        <v>268</v>
      </c>
      <c r="B94" s="288" t="s">
        <v>269</v>
      </c>
      <c r="C94" s="164">
        <f>C93+C55</f>
        <v>14446</v>
      </c>
      <c r="D94" s="164">
        <f>D93+D55</f>
        <v>14598</v>
      </c>
      <c r="E94" s="449" t="s">
        <v>270</v>
      </c>
      <c r="F94" s="289" t="s">
        <v>271</v>
      </c>
      <c r="G94" s="165">
        <f>G36+G39+G55+G79</f>
        <v>14446</v>
      </c>
      <c r="H94" s="165">
        <f>H36+H39+H55+H79</f>
        <v>14598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3.8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3.8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3.8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3.8">
      <c r="A98" s="45" t="s">
        <v>873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3.8">
      <c r="C99" s="45"/>
      <c r="D99" s="1"/>
      <c r="E99" s="45"/>
      <c r="F99" s="170"/>
      <c r="G99" s="171"/>
      <c r="H99" s="172"/>
    </row>
    <row r="100" spans="1:13" ht="13.8">
      <c r="A100" s="173"/>
      <c r="B100" s="173"/>
      <c r="C100" s="579" t="s">
        <v>857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366"/>
  <sheetViews>
    <sheetView topLeftCell="A33" workbookViewId="0">
      <selection activeCell="B49" sqref="B49"/>
    </sheetView>
  </sheetViews>
  <sheetFormatPr defaultColWidth="9.33203125" defaultRowHeight="12"/>
  <cols>
    <col min="1" max="1" width="48.109375" style="568" customWidth="1"/>
    <col min="2" max="2" width="12.109375" style="568" customWidth="1"/>
    <col min="3" max="3" width="13" style="545" customWidth="1"/>
    <col min="4" max="4" width="12.6640625" style="545" customWidth="1"/>
    <col min="5" max="5" width="37.33203125" style="568" customWidth="1"/>
    <col min="6" max="6" width="9" style="568" customWidth="1"/>
    <col min="7" max="7" width="11.6640625" style="545" customWidth="1"/>
    <col min="8" max="8" width="13.109375" style="545" customWidth="1"/>
    <col min="9" max="16384" width="9.332031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3.8">
      <c r="A2" s="467" t="s">
        <v>1</v>
      </c>
      <c r="B2" s="584" t="str">
        <f>'справка №1-БАЛАНС'!E3</f>
        <v>"ЕКО ДРАЧЕВО" ООД</v>
      </c>
      <c r="C2" s="584"/>
      <c r="D2" s="584"/>
      <c r="E2" s="584"/>
      <c r="F2" s="586" t="s">
        <v>2</v>
      </c>
      <c r="G2" s="586"/>
      <c r="H2" s="526">
        <f>'справка №1-БАЛАНС'!H3</f>
        <v>200835689</v>
      </c>
    </row>
    <row r="3" spans="1:18" ht="13.8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01.01.-30.06.2016 год.</v>
      </c>
      <c r="C4" s="585"/>
      <c r="D4" s="585"/>
      <c r="E4" s="314"/>
      <c r="F4" s="466"/>
      <c r="G4" s="544"/>
      <c r="H4" s="547" t="s">
        <v>276</v>
      </c>
    </row>
    <row r="5" spans="1:18" ht="22.8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8</v>
      </c>
      <c r="D9" s="46">
        <v>13</v>
      </c>
      <c r="E9" s="298" t="s">
        <v>285</v>
      </c>
      <c r="F9" s="549" t="s">
        <v>286</v>
      </c>
      <c r="G9" s="550">
        <v>1726</v>
      </c>
      <c r="H9" s="550">
        <v>1612</v>
      </c>
    </row>
    <row r="10" spans="1:18">
      <c r="A10" s="298" t="s">
        <v>287</v>
      </c>
      <c r="B10" s="299" t="s">
        <v>288</v>
      </c>
      <c r="C10" s="46">
        <v>198</v>
      </c>
      <c r="D10" s="46">
        <v>101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389</v>
      </c>
      <c r="D11" s="46">
        <v>389</v>
      </c>
      <c r="E11" s="300" t="s">
        <v>293</v>
      </c>
      <c r="F11" s="549" t="s">
        <v>294</v>
      </c>
      <c r="G11" s="550"/>
      <c r="H11" s="550"/>
    </row>
    <row r="12" spans="1:18">
      <c r="A12" s="298" t="s">
        <v>295</v>
      </c>
      <c r="B12" s="299" t="s">
        <v>296</v>
      </c>
      <c r="C12" s="46">
        <v>22</v>
      </c>
      <c r="D12" s="46">
        <v>19</v>
      </c>
      <c r="E12" s="300" t="s">
        <v>78</v>
      </c>
      <c r="F12" s="549" t="s">
        <v>297</v>
      </c>
      <c r="G12" s="550"/>
      <c r="H12" s="550"/>
    </row>
    <row r="13" spans="1:18">
      <c r="A13" s="298" t="s">
        <v>298</v>
      </c>
      <c r="B13" s="299" t="s">
        <v>299</v>
      </c>
      <c r="C13" s="46">
        <v>4</v>
      </c>
      <c r="D13" s="46">
        <v>4</v>
      </c>
      <c r="E13" s="301" t="s">
        <v>51</v>
      </c>
      <c r="F13" s="551" t="s">
        <v>300</v>
      </c>
      <c r="G13" s="548">
        <f>SUM(G9:G12)</f>
        <v>1726</v>
      </c>
      <c r="H13" s="548">
        <f>SUM(H9:H12)</f>
        <v>1612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/>
      <c r="D14" s="46"/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2</v>
      </c>
      <c r="D16" s="47">
        <v>2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623</v>
      </c>
      <c r="D19" s="49">
        <f>SUM(D9:D15)+D16</f>
        <v>528</v>
      </c>
      <c r="E19" s="304" t="s">
        <v>317</v>
      </c>
      <c r="F19" s="552" t="s">
        <v>318</v>
      </c>
      <c r="G19" s="550">
        <v>2</v>
      </c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334</v>
      </c>
      <c r="D22" s="46">
        <v>235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/>
      <c r="D24" s="46"/>
      <c r="E24" s="301" t="s">
        <v>103</v>
      </c>
      <c r="F24" s="554" t="s">
        <v>334</v>
      </c>
      <c r="G24" s="548">
        <f>SUM(G19:G23)</f>
        <v>2</v>
      </c>
      <c r="H24" s="548">
        <f>SUM(H19:H23)</f>
        <v>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27</v>
      </c>
      <c r="D25" s="46">
        <v>46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361</v>
      </c>
      <c r="D26" s="49">
        <f>SUM(D22:D25)</f>
        <v>281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984</v>
      </c>
      <c r="D28" s="50">
        <f>D26+D19</f>
        <v>809</v>
      </c>
      <c r="E28" s="127" t="s">
        <v>339</v>
      </c>
      <c r="F28" s="554" t="s">
        <v>340</v>
      </c>
      <c r="G28" s="548">
        <f>G13+G15+G24</f>
        <v>1728</v>
      </c>
      <c r="H28" s="548">
        <f>H13+H15+H24</f>
        <v>1612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744</v>
      </c>
      <c r="D30" s="50">
        <f>IF((H28-D28)&gt;0,H28-D28,0)</f>
        <v>803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853</v>
      </c>
      <c r="B31" s="306" t="s">
        <v>345</v>
      </c>
      <c r="C31" s="46"/>
      <c r="D31" s="46"/>
      <c r="E31" s="296" t="s">
        <v>856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984</v>
      </c>
      <c r="D33" s="49">
        <f>D28-D31+D32</f>
        <v>809</v>
      </c>
      <c r="E33" s="127" t="s">
        <v>353</v>
      </c>
      <c r="F33" s="554" t="s">
        <v>354</v>
      </c>
      <c r="G33" s="53">
        <f>G32-G31+G28</f>
        <v>1728</v>
      </c>
      <c r="H33" s="53">
        <f>H32-H31+H28</f>
        <v>1612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744</v>
      </c>
      <c r="D34" s="50">
        <f>IF((H33-D33)&gt;0,H33-D33,0)</f>
        <v>803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74</v>
      </c>
      <c r="D35" s="49">
        <f>D36+D37+D38</f>
        <v>80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74</v>
      </c>
      <c r="D36" s="46">
        <v>80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670</v>
      </c>
      <c r="D39" s="460">
        <f>+IF((H33-D33-D35)&gt;0,H33-D33-D35,0)</f>
        <v>723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670</v>
      </c>
      <c r="D41" s="52">
        <f>IF(H39=0,IF(D39-D40&gt;0,D39-D40+H40,0),IF(H39-H40&lt;0,H40-H39+D39,0))</f>
        <v>723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1728</v>
      </c>
      <c r="D42" s="53">
        <f>D33+D35+D39</f>
        <v>1612</v>
      </c>
      <c r="E42" s="128" t="s">
        <v>380</v>
      </c>
      <c r="F42" s="129" t="s">
        <v>381</v>
      </c>
      <c r="G42" s="53">
        <f>G39+G33</f>
        <v>1728</v>
      </c>
      <c r="H42" s="53">
        <f>H39+H33</f>
        <v>1612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863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630">
        <v>42578</v>
      </c>
      <c r="C48" s="427" t="s">
        <v>382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782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M102"/>
  <sheetViews>
    <sheetView topLeftCell="A29" workbookViewId="0">
      <selection activeCell="A50" sqref="A50"/>
    </sheetView>
  </sheetViews>
  <sheetFormatPr defaultColWidth="9.33203125" defaultRowHeight="12"/>
  <cols>
    <col min="1" max="1" width="69.88671875" style="131" customWidth="1"/>
    <col min="2" max="2" width="36.109375" style="131" customWidth="1"/>
    <col min="3" max="3" width="22.109375" style="543" customWidth="1"/>
    <col min="4" max="4" width="21.33203125" style="543" customWidth="1"/>
    <col min="5" max="5" width="10.109375" style="131" customWidth="1"/>
    <col min="6" max="6" width="12" style="131" customWidth="1"/>
    <col min="7" max="16384" width="9.332031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"ЕКО ДРАЧЕВО" ООД</v>
      </c>
      <c r="C4" s="541" t="s">
        <v>2</v>
      </c>
      <c r="D4" s="541">
        <f>'справка №1-БАЛАНС'!H3</f>
        <v>200835689</v>
      </c>
      <c r="E4" s="323"/>
      <c r="F4" s="323"/>
    </row>
    <row r="5" spans="1:13" ht="13.8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01.01.-30.06.2016 год.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1700</v>
      </c>
      <c r="D10" s="54">
        <v>3767</v>
      </c>
      <c r="E10" s="130"/>
      <c r="F10" s="130"/>
    </row>
    <row r="11" spans="1:13">
      <c r="A11" s="332" t="s">
        <v>389</v>
      </c>
      <c r="B11" s="333" t="s">
        <v>390</v>
      </c>
      <c r="C11" s="54">
        <v>-553</v>
      </c>
      <c r="D11" s="54">
        <v>-1162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-38</v>
      </c>
      <c r="D13" s="54">
        <v>-66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/>
      <c r="D14" s="54"/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>
        <v>-43</v>
      </c>
      <c r="D15" s="54">
        <v>-59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>
        <v>6</v>
      </c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-373</v>
      </c>
      <c r="D19" s="54">
        <v>10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693</v>
      </c>
      <c r="D20" s="55">
        <f>SUM(D10:D19)</f>
        <v>2496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0</v>
      </c>
      <c r="D32" s="55">
        <f>SUM(D22:D31)</f>
        <v>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247</v>
      </c>
      <c r="D36" s="54"/>
      <c r="E36" s="130"/>
      <c r="F36" s="130"/>
    </row>
    <row r="37" spans="1:8">
      <c r="A37" s="332" t="s">
        <v>438</v>
      </c>
      <c r="B37" s="333" t="s">
        <v>439</v>
      </c>
      <c r="C37" s="54">
        <v>-383</v>
      </c>
      <c r="D37" s="54">
        <v>-869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-360</v>
      </c>
      <c r="D39" s="54">
        <v>-716</v>
      </c>
      <c r="E39" s="130"/>
      <c r="F39" s="130"/>
    </row>
    <row r="40" spans="1:8">
      <c r="A40" s="332" t="s">
        <v>444</v>
      </c>
      <c r="B40" s="333" t="s">
        <v>445</v>
      </c>
      <c r="C40" s="54">
        <v>-394</v>
      </c>
      <c r="D40" s="54">
        <v>-670</v>
      </c>
      <c r="E40" s="130"/>
      <c r="F40" s="130"/>
    </row>
    <row r="41" spans="1:8">
      <c r="A41" s="332" t="s">
        <v>446</v>
      </c>
      <c r="B41" s="333" t="s">
        <v>447</v>
      </c>
      <c r="C41" s="54">
        <v>-284</v>
      </c>
      <c r="D41" s="54">
        <f>-353+110</f>
        <v>-243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-1174</v>
      </c>
      <c r="D42" s="55">
        <f>SUM(D34:D41)</f>
        <v>-2498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-481</v>
      </c>
      <c r="D43" s="55">
        <f>D42+D32+D20</f>
        <v>-2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1073</v>
      </c>
      <c r="D44" s="132">
        <v>1075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592</v>
      </c>
      <c r="D45" s="55">
        <f>D44+D43</f>
        <v>1073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/>
      <c r="D46" s="56"/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872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782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537"/>
  <sheetViews>
    <sheetView topLeftCell="A24" workbookViewId="0">
      <selection activeCell="A39" sqref="A39"/>
    </sheetView>
  </sheetViews>
  <sheetFormatPr defaultColWidth="9.33203125" defaultRowHeight="12"/>
  <cols>
    <col min="1" max="1" width="48.44140625" style="539" customWidth="1"/>
    <col min="2" max="2" width="8.33203125" style="540" customWidth="1"/>
    <col min="3" max="3" width="9.109375" style="2" customWidth="1"/>
    <col min="4" max="4" width="9.33203125" style="2" customWidth="1"/>
    <col min="5" max="5" width="8.6640625" style="2" customWidth="1"/>
    <col min="6" max="6" width="7.44140625" style="2" customWidth="1"/>
    <col min="7" max="7" width="9.6640625" style="2" customWidth="1"/>
    <col min="8" max="8" width="7.44140625" style="2" customWidth="1"/>
    <col min="9" max="9" width="8.33203125" style="2" customWidth="1"/>
    <col min="10" max="10" width="8" style="2" customWidth="1"/>
    <col min="11" max="11" width="11.109375" style="2" customWidth="1"/>
    <col min="12" max="12" width="12.88671875" style="2" customWidth="1"/>
    <col min="13" max="13" width="15.88671875" style="2" customWidth="1"/>
    <col min="14" max="14" width="11" style="2" customWidth="1"/>
    <col min="15" max="16384" width="9.33203125" style="2"/>
  </cols>
  <sheetData>
    <row r="1" spans="1:23" s="532" customFormat="1" ht="24" customHeight="1">
      <c r="A1" s="589" t="s">
        <v>460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"ЕКО ДРАЧЕВО" ООД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200835689</v>
      </c>
      <c r="N3" s="2"/>
    </row>
    <row r="4" spans="1:23" s="532" customFormat="1" ht="13.5" customHeight="1">
      <c r="A4" s="467" t="s">
        <v>461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01.01.-30.06.2016 год.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3" customFormat="1" ht="57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16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1795</v>
      </c>
      <c r="I11" s="58">
        <f>'справка №1-БАЛАНС'!H28+'справка №1-БАЛАНС'!H31</f>
        <v>2049</v>
      </c>
      <c r="J11" s="58">
        <f>'справка №1-БАЛАНС'!H29+'справка №1-БАЛАНС'!H32</f>
        <v>0</v>
      </c>
      <c r="K11" s="60"/>
      <c r="L11" s="344">
        <f>SUM(C11:K11)</f>
        <v>3860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16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1795</v>
      </c>
      <c r="I15" s="61">
        <f t="shared" si="2"/>
        <v>2049</v>
      </c>
      <c r="J15" s="61">
        <f t="shared" si="2"/>
        <v>0</v>
      </c>
      <c r="K15" s="61">
        <f t="shared" si="2"/>
        <v>0</v>
      </c>
      <c r="L15" s="344">
        <f t="shared" si="1"/>
        <v>3860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670</v>
      </c>
      <c r="J16" s="345">
        <f>+'справка №1-БАЛАНС'!G32</f>
        <v>0</v>
      </c>
      <c r="K16" s="60"/>
      <c r="L16" s="344">
        <f t="shared" si="1"/>
        <v>670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-393</v>
      </c>
      <c r="J17" s="62">
        <f>J18+J19</f>
        <v>0</v>
      </c>
      <c r="K17" s="62">
        <f t="shared" si="3"/>
        <v>0</v>
      </c>
      <c r="L17" s="344">
        <f t="shared" si="1"/>
        <v>-393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>
        <v>-393</v>
      </c>
      <c r="J18" s="60"/>
      <c r="K18" s="60"/>
      <c r="L18" s="344">
        <f t="shared" si="1"/>
        <v>-393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>
        <v>-285</v>
      </c>
      <c r="I28" s="60"/>
      <c r="J28" s="60"/>
      <c r="K28" s="60"/>
      <c r="L28" s="344">
        <f t="shared" si="1"/>
        <v>-285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16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1510</v>
      </c>
      <c r="I29" s="59">
        <f t="shared" si="6"/>
        <v>2326</v>
      </c>
      <c r="J29" s="59">
        <f t="shared" si="6"/>
        <v>0</v>
      </c>
      <c r="K29" s="59">
        <f t="shared" si="6"/>
        <v>0</v>
      </c>
      <c r="L29" s="344">
        <f t="shared" si="1"/>
        <v>3852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16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1510</v>
      </c>
      <c r="I32" s="59">
        <f t="shared" si="7"/>
        <v>2326</v>
      </c>
      <c r="J32" s="59">
        <f t="shared" si="7"/>
        <v>0</v>
      </c>
      <c r="K32" s="59">
        <f t="shared" si="7"/>
        <v>0</v>
      </c>
      <c r="L32" s="344">
        <f t="shared" si="1"/>
        <v>3852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864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871</v>
      </c>
      <c r="B38" s="19"/>
      <c r="C38" s="15"/>
      <c r="D38" s="590" t="s">
        <v>522</v>
      </c>
      <c r="E38" s="590"/>
      <c r="F38" s="590"/>
      <c r="G38" s="590"/>
      <c r="H38" s="590"/>
      <c r="I38" s="590"/>
      <c r="J38" s="15" t="s">
        <v>859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B232"/>
  <sheetViews>
    <sheetView topLeftCell="A31" workbookViewId="0">
      <selection activeCell="B45" sqref="B45"/>
    </sheetView>
  </sheetViews>
  <sheetFormatPr defaultColWidth="10.6640625" defaultRowHeight="12"/>
  <cols>
    <col min="1" max="1" width="4.109375" style="22" customWidth="1"/>
    <col min="2" max="2" width="31" style="22" customWidth="1"/>
    <col min="3" max="3" width="9.33203125" style="22" customWidth="1"/>
    <col min="4" max="6" width="9.44140625" style="22" customWidth="1"/>
    <col min="7" max="7" width="8.88671875" style="22" customWidth="1"/>
    <col min="8" max="8" width="15" style="22" customWidth="1"/>
    <col min="9" max="9" width="11" style="22" customWidth="1"/>
    <col min="10" max="10" width="12.44140625" style="22" customWidth="1"/>
    <col min="11" max="11" width="9.33203125" style="22" customWidth="1"/>
    <col min="12" max="12" width="10.6640625" style="22" customWidth="1"/>
    <col min="13" max="13" width="9.6640625" style="22" customWidth="1"/>
    <col min="14" max="14" width="8.44140625" style="22" customWidth="1"/>
    <col min="15" max="15" width="13.88671875" style="22" customWidth="1"/>
    <col min="16" max="16" width="12.109375" style="22" customWidth="1"/>
    <col min="17" max="17" width="13.109375" style="22" customWidth="1"/>
    <col min="18" max="18" width="11.33203125" style="22" customWidth="1"/>
    <col min="19" max="16384" width="10.6640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384</v>
      </c>
      <c r="B2" s="597"/>
      <c r="C2" s="598" t="str">
        <f>'справка №1-БАЛАНС'!E3</f>
        <v>"ЕКО ДРАЧЕВО" ООД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200835689</v>
      </c>
      <c r="P2" s="483"/>
      <c r="Q2" s="483"/>
      <c r="R2" s="526"/>
    </row>
    <row r="3" spans="1:28" ht="13.8">
      <c r="A3" s="596" t="s">
        <v>5</v>
      </c>
      <c r="B3" s="597"/>
      <c r="C3" s="599" t="str">
        <f>'справка №1-БАЛАНС'!E5</f>
        <v>01.01.-30.06.2016 год.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524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525</v>
      </c>
    </row>
    <row r="5" spans="1:28" s="100" customFormat="1" ht="30.75" customHeight="1">
      <c r="A5" s="605" t="s">
        <v>464</v>
      </c>
      <c r="B5" s="606"/>
      <c r="C5" s="609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2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2" t="s">
        <v>530</v>
      </c>
      <c r="R5" s="602" t="s">
        <v>531</v>
      </c>
    </row>
    <row r="6" spans="1:28" s="100" customFormat="1" ht="45.6">
      <c r="A6" s="607"/>
      <c r="B6" s="608"/>
      <c r="C6" s="610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3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3"/>
      <c r="R6" s="603"/>
    </row>
    <row r="7" spans="1:28" s="100" customFormat="1" ht="11.4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28</v>
      </c>
      <c r="E9" s="189"/>
      <c r="F9" s="189"/>
      <c r="G9" s="74">
        <f>D9+E9-F9</f>
        <v>28</v>
      </c>
      <c r="H9" s="65"/>
      <c r="I9" s="65"/>
      <c r="J9" s="74">
        <f>G9+H9-I9</f>
        <v>28</v>
      </c>
      <c r="K9" s="65">
        <v>0</v>
      </c>
      <c r="L9" s="65">
        <v>0</v>
      </c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28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164</v>
      </c>
      <c r="E10" s="189"/>
      <c r="F10" s="189"/>
      <c r="G10" s="74">
        <f t="shared" ref="G10:G39" si="2">D10+E10-F10</f>
        <v>164</v>
      </c>
      <c r="H10" s="65"/>
      <c r="I10" s="65"/>
      <c r="J10" s="74">
        <f t="shared" ref="J10:J39" si="3">G10+H10-I10</f>
        <v>164</v>
      </c>
      <c r="K10" s="65">
        <v>88</v>
      </c>
      <c r="L10" s="65">
        <v>8</v>
      </c>
      <c r="M10" s="65"/>
      <c r="N10" s="74">
        <f t="shared" ref="N10:N39" si="4">K10+L10-M10</f>
        <v>96</v>
      </c>
      <c r="O10" s="65"/>
      <c r="P10" s="65"/>
      <c r="Q10" s="74">
        <f t="shared" si="0"/>
        <v>96</v>
      </c>
      <c r="R10" s="74">
        <f t="shared" si="1"/>
        <v>68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18741</v>
      </c>
      <c r="E11" s="189"/>
      <c r="F11" s="189"/>
      <c r="G11" s="74">
        <f t="shared" si="2"/>
        <v>18741</v>
      </c>
      <c r="H11" s="65"/>
      <c r="I11" s="65"/>
      <c r="J11" s="74">
        <f t="shared" si="3"/>
        <v>18741</v>
      </c>
      <c r="K11" s="65">
        <v>5634</v>
      </c>
      <c r="L11" s="65">
        <v>335</v>
      </c>
      <c r="M11" s="65"/>
      <c r="N11" s="74">
        <f t="shared" si="4"/>
        <v>5969</v>
      </c>
      <c r="O11" s="65"/>
      <c r="P11" s="65"/>
      <c r="Q11" s="74">
        <f t="shared" si="0"/>
        <v>5969</v>
      </c>
      <c r="R11" s="74">
        <f t="shared" si="1"/>
        <v>12772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40</v>
      </c>
      <c r="E13" s="189"/>
      <c r="F13" s="189"/>
      <c r="G13" s="74">
        <f t="shared" si="2"/>
        <v>40</v>
      </c>
      <c r="H13" s="65"/>
      <c r="I13" s="65"/>
      <c r="J13" s="74">
        <f t="shared" si="3"/>
        <v>40</v>
      </c>
      <c r="K13" s="65">
        <v>6</v>
      </c>
      <c r="L13" s="65">
        <v>5</v>
      </c>
      <c r="M13" s="65"/>
      <c r="N13" s="74">
        <f t="shared" si="4"/>
        <v>11</v>
      </c>
      <c r="O13" s="65"/>
      <c r="P13" s="65"/>
      <c r="Q13" s="74">
        <f t="shared" si="0"/>
        <v>11</v>
      </c>
      <c r="R13" s="74">
        <f t="shared" si="1"/>
        <v>29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525</v>
      </c>
      <c r="E14" s="189"/>
      <c r="F14" s="189"/>
      <c r="G14" s="74">
        <f t="shared" si="2"/>
        <v>525</v>
      </c>
      <c r="H14" s="65"/>
      <c r="I14" s="65"/>
      <c r="J14" s="74">
        <f t="shared" si="3"/>
        <v>525</v>
      </c>
      <c r="K14" s="65">
        <v>401</v>
      </c>
      <c r="L14" s="65">
        <v>41</v>
      </c>
      <c r="M14" s="65"/>
      <c r="N14" s="74">
        <f t="shared" si="4"/>
        <v>442</v>
      </c>
      <c r="O14" s="65"/>
      <c r="P14" s="65"/>
      <c r="Q14" s="74">
        <f t="shared" si="0"/>
        <v>442</v>
      </c>
      <c r="R14" s="74">
        <f t="shared" si="1"/>
        <v>83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860</v>
      </c>
      <c r="B15" s="374" t="s">
        <v>861</v>
      </c>
      <c r="C15" s="456" t="s">
        <v>862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19498</v>
      </c>
      <c r="E17" s="194">
        <f>SUM(E9:E16)</f>
        <v>0</v>
      </c>
      <c r="F17" s="194">
        <f>SUM(F9:F16)</f>
        <v>0</v>
      </c>
      <c r="G17" s="74">
        <f t="shared" si="2"/>
        <v>19498</v>
      </c>
      <c r="H17" s="75">
        <f>SUM(H9:H16)</f>
        <v>0</v>
      </c>
      <c r="I17" s="75">
        <f>SUM(I9:I16)</f>
        <v>0</v>
      </c>
      <c r="J17" s="74">
        <f t="shared" si="3"/>
        <v>19498</v>
      </c>
      <c r="K17" s="75">
        <f>SUM(K9:K16)</f>
        <v>6129</v>
      </c>
      <c r="L17" s="75">
        <f>SUM(L9:L16)</f>
        <v>389</v>
      </c>
      <c r="M17" s="75">
        <f>SUM(M9:M16)</f>
        <v>0</v>
      </c>
      <c r="N17" s="74">
        <f t="shared" si="4"/>
        <v>6518</v>
      </c>
      <c r="O17" s="75">
        <f>SUM(O9:O16)</f>
        <v>0</v>
      </c>
      <c r="P17" s="75">
        <f>SUM(P9:P16)</f>
        <v>0</v>
      </c>
      <c r="Q17" s="74">
        <f t="shared" si="5"/>
        <v>6518</v>
      </c>
      <c r="R17" s="74">
        <f t="shared" si="6"/>
        <v>12980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41</v>
      </c>
      <c r="E22" s="189"/>
      <c r="F22" s="189"/>
      <c r="G22" s="74">
        <f t="shared" si="2"/>
        <v>41</v>
      </c>
      <c r="H22" s="65"/>
      <c r="I22" s="65"/>
      <c r="J22" s="74">
        <f t="shared" si="3"/>
        <v>41</v>
      </c>
      <c r="K22" s="65">
        <v>41</v>
      </c>
      <c r="L22" s="65"/>
      <c r="M22" s="65"/>
      <c r="N22" s="74">
        <f t="shared" si="4"/>
        <v>41</v>
      </c>
      <c r="O22" s="65"/>
      <c r="P22" s="65"/>
      <c r="Q22" s="74">
        <f t="shared" si="5"/>
        <v>41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839</v>
      </c>
      <c r="C25" s="376" t="s">
        <v>583</v>
      </c>
      <c r="D25" s="190">
        <f>SUM(D21:D24)</f>
        <v>41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41</v>
      </c>
      <c r="H25" s="66">
        <f t="shared" si="7"/>
        <v>0</v>
      </c>
      <c r="I25" s="66">
        <f t="shared" si="7"/>
        <v>0</v>
      </c>
      <c r="J25" s="67">
        <f t="shared" si="3"/>
        <v>41</v>
      </c>
      <c r="K25" s="66">
        <f t="shared" si="7"/>
        <v>41</v>
      </c>
      <c r="L25" s="66">
        <f t="shared" si="7"/>
        <v>0</v>
      </c>
      <c r="M25" s="66">
        <f t="shared" si="7"/>
        <v>0</v>
      </c>
      <c r="N25" s="67">
        <f t="shared" si="4"/>
        <v>41</v>
      </c>
      <c r="O25" s="66">
        <f t="shared" si="7"/>
        <v>0</v>
      </c>
      <c r="P25" s="66">
        <f t="shared" si="7"/>
        <v>0</v>
      </c>
      <c r="Q25" s="67">
        <f t="shared" si="5"/>
        <v>41</v>
      </c>
      <c r="R25" s="67">
        <f t="shared" si="6"/>
        <v>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855</v>
      </c>
      <c r="C38" s="369" t="s">
        <v>602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603</v>
      </c>
      <c r="B39" s="370" t="s">
        <v>604</v>
      </c>
      <c r="C39" s="369" t="s">
        <v>605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606</v>
      </c>
      <c r="C40" s="359" t="s">
        <v>607</v>
      </c>
      <c r="D40" s="438">
        <f>D17+D18+D19+D25+D38+D39</f>
        <v>19539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19539</v>
      </c>
      <c r="H40" s="438">
        <f t="shared" si="13"/>
        <v>0</v>
      </c>
      <c r="I40" s="438">
        <f t="shared" si="13"/>
        <v>0</v>
      </c>
      <c r="J40" s="438">
        <f t="shared" si="13"/>
        <v>19539</v>
      </c>
      <c r="K40" s="438">
        <f t="shared" si="13"/>
        <v>6170</v>
      </c>
      <c r="L40" s="438">
        <f t="shared" si="13"/>
        <v>389</v>
      </c>
      <c r="M40" s="438">
        <f t="shared" si="13"/>
        <v>0</v>
      </c>
      <c r="N40" s="438">
        <f t="shared" si="13"/>
        <v>6559</v>
      </c>
      <c r="O40" s="438">
        <f t="shared" si="13"/>
        <v>0</v>
      </c>
      <c r="P40" s="438">
        <f t="shared" si="13"/>
        <v>0</v>
      </c>
      <c r="Q40" s="438">
        <f t="shared" si="13"/>
        <v>6559</v>
      </c>
      <c r="R40" s="438">
        <f t="shared" si="13"/>
        <v>12980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870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11"/>
      <c r="L44" s="611"/>
      <c r="M44" s="611"/>
      <c r="N44" s="611"/>
      <c r="O44" s="600" t="s">
        <v>782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A115"/>
  <sheetViews>
    <sheetView topLeftCell="A91" workbookViewId="0">
      <selection activeCell="A110" sqref="A110"/>
    </sheetView>
  </sheetViews>
  <sheetFormatPr defaultColWidth="10.6640625" defaultRowHeight="12"/>
  <cols>
    <col min="1" max="1" width="39.109375" style="22" customWidth="1"/>
    <col min="2" max="2" width="10.44140625" style="102" customWidth="1"/>
    <col min="3" max="3" width="22.6640625" style="22" customWidth="1"/>
    <col min="4" max="4" width="21.33203125" style="22" customWidth="1"/>
    <col min="5" max="5" width="13.109375" style="22" customWidth="1"/>
    <col min="6" max="6" width="14.88671875" style="22" customWidth="1"/>
    <col min="7" max="26" width="10.6640625" style="22" hidden="1" customWidth="1"/>
    <col min="27" max="16384" width="10.6640625" style="22"/>
  </cols>
  <sheetData>
    <row r="1" spans="1:15" ht="24" customHeight="1">
      <c r="A1" s="615" t="s">
        <v>610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384</v>
      </c>
      <c r="B3" s="618" t="str">
        <f>'справка №1-БАЛАНС'!E3</f>
        <v>"ЕКО ДРАЧЕВО" ООД</v>
      </c>
      <c r="C3" s="619"/>
      <c r="D3" s="526" t="s">
        <v>2</v>
      </c>
      <c r="E3" s="107">
        <f>'справка №1-БАЛАНС'!H3</f>
        <v>200835689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3.8">
      <c r="A4" s="494" t="s">
        <v>5</v>
      </c>
      <c r="B4" s="616" t="str">
        <f>'справка №1-БАЛАНС'!E5</f>
        <v>01.01.-30.06.2016 год.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611</v>
      </c>
      <c r="B5" s="496"/>
      <c r="C5" s="497"/>
      <c r="D5" s="107"/>
      <c r="E5" s="498" t="s">
        <v>612</v>
      </c>
    </row>
    <row r="6" spans="1:15" s="100" customFormat="1" ht="11.4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 ht="11.4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 ht="11.4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391</v>
      </c>
      <c r="D11" s="119">
        <f>SUM(D12:D14)</f>
        <v>0</v>
      </c>
      <c r="E11" s="120">
        <f>SUM(E12:E14)</f>
        <v>391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>
        <v>391</v>
      </c>
      <c r="D12" s="108"/>
      <c r="E12" s="120">
        <f t="shared" ref="E12:E42" si="0">C12-D12</f>
        <v>391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>
      <c r="A19" s="398" t="s">
        <v>635</v>
      </c>
      <c r="B19" s="394" t="s">
        <v>636</v>
      </c>
      <c r="C19" s="104">
        <f>C11+C15+C16</f>
        <v>391</v>
      </c>
      <c r="D19" s="104">
        <f>D11+D15+D16</f>
        <v>0</v>
      </c>
      <c r="E19" s="118">
        <f>E11+E15+E16</f>
        <v>391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/>
      <c r="D21" s="108"/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/>
      <c r="D25" s="108"/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/>
      <c r="D26" s="108"/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480</v>
      </c>
      <c r="D28" s="108">
        <v>480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/>
      <c r="D29" s="108"/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/>
      <c r="D35" s="108"/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0</v>
      </c>
      <c r="D38" s="105">
        <f>SUM(D39:D42)</f>
        <v>0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/>
      <c r="D42" s="108"/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480</v>
      </c>
      <c r="D43" s="104">
        <f>D24+D28+D29+D31+D30+D32+D33+D38</f>
        <v>480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871</v>
      </c>
      <c r="D44" s="103">
        <f>D43+D21+D19+D9</f>
        <v>480</v>
      </c>
      <c r="E44" s="118">
        <f>E43+E21+E19+E9</f>
        <v>391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2.8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 ht="11.4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 ht="11.4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4">
      <c r="A56" s="396" t="s">
        <v>695</v>
      </c>
      <c r="B56" s="397" t="s">
        <v>696</v>
      </c>
      <c r="C56" s="103">
        <f>C57+C59</f>
        <v>10240</v>
      </c>
      <c r="D56" s="103">
        <f>D57+D59</f>
        <v>532</v>
      </c>
      <c r="E56" s="119">
        <f t="shared" si="1"/>
        <v>9708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>
        <v>10240</v>
      </c>
      <c r="D57" s="108">
        <v>532</v>
      </c>
      <c r="E57" s="119">
        <f t="shared" si="1"/>
        <v>9708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/>
      <c r="D63" s="108"/>
      <c r="E63" s="119">
        <f t="shared" si="1"/>
        <v>0</v>
      </c>
      <c r="F63" s="110"/>
    </row>
    <row r="64" spans="1:16">
      <c r="A64" s="396" t="s">
        <v>708</v>
      </c>
      <c r="B64" s="397" t="s">
        <v>709</v>
      </c>
      <c r="C64" s="108">
        <v>30</v>
      </c>
      <c r="D64" s="108">
        <v>7</v>
      </c>
      <c r="E64" s="119">
        <f t="shared" si="1"/>
        <v>23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10270</v>
      </c>
      <c r="D66" s="103">
        <f>D52+D56+D61+D62+D63+D64</f>
        <v>539</v>
      </c>
      <c r="E66" s="119">
        <f t="shared" si="1"/>
        <v>9731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/>
      <c r="D72" s="108"/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0</v>
      </c>
      <c r="D75" s="103">
        <f>D76+D78</f>
        <v>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/>
      <c r="D76" s="108"/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/>
      <c r="D82" s="108"/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324</v>
      </c>
      <c r="D85" s="104">
        <f>SUM(D86:D90)+D94</f>
        <v>184</v>
      </c>
      <c r="E85" s="104">
        <f>SUM(E86:E90)+E94</f>
        <v>140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154</v>
      </c>
      <c r="D87" s="108">
        <v>14</v>
      </c>
      <c r="E87" s="119">
        <f t="shared" si="1"/>
        <v>140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5</v>
      </c>
      <c r="D89" s="108">
        <v>5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164</v>
      </c>
      <c r="D90" s="103">
        <f>SUM(D91:D93)</f>
        <v>164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>
        <v>87</v>
      </c>
      <c r="D91" s="108">
        <v>87</v>
      </c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>
        <v>76</v>
      </c>
      <c r="D92" s="108">
        <v>76</v>
      </c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1</v>
      </c>
      <c r="D93" s="108">
        <v>1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1</v>
      </c>
      <c r="D94" s="108">
        <v>1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/>
      <c r="D95" s="108"/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324</v>
      </c>
      <c r="D96" s="104">
        <f>D85+D80+D75+D71+D95</f>
        <v>184</v>
      </c>
      <c r="E96" s="104">
        <f>E85+E80+E75+E71+E95</f>
        <v>140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10594</v>
      </c>
      <c r="D97" s="104">
        <f>D96+D68+D66</f>
        <v>723</v>
      </c>
      <c r="E97" s="104">
        <f>E96+E68+E66</f>
        <v>9871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2.8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 ht="11.4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781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869</v>
      </c>
      <c r="B109" s="613"/>
      <c r="C109" s="613" t="s">
        <v>382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782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P264"/>
  <sheetViews>
    <sheetView topLeftCell="A21" workbookViewId="0">
      <selection activeCell="A31" sqref="A31"/>
    </sheetView>
  </sheetViews>
  <sheetFormatPr defaultColWidth="10.6640625" defaultRowHeight="12"/>
  <cols>
    <col min="1" max="1" width="52.6640625" style="107" customWidth="1"/>
    <col min="2" max="2" width="9.109375" style="524" customWidth="1"/>
    <col min="3" max="3" width="12.88671875" style="107" customWidth="1"/>
    <col min="4" max="4" width="12.6640625" style="107" customWidth="1"/>
    <col min="5" max="5" width="12.88671875" style="107" customWidth="1"/>
    <col min="6" max="6" width="11.44140625" style="107" customWidth="1"/>
    <col min="7" max="7" width="12.44140625" style="107" customWidth="1"/>
    <col min="8" max="8" width="14.109375" style="107" customWidth="1"/>
    <col min="9" max="9" width="14" style="107" customWidth="1"/>
    <col min="10" max="16384" width="10.6640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0" t="str">
        <f>'справка №1-БАЛАНС'!E3</f>
        <v>"ЕКО ДРАЧЕВО" ООД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200835689</v>
      </c>
    </row>
    <row r="5" spans="1:9" ht="13.8">
      <c r="A5" s="501" t="s">
        <v>5</v>
      </c>
      <c r="B5" s="621" t="str">
        <f>'справка №1-БАЛАНС'!E5</f>
        <v>01.01.-30.06.2016 год.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785</v>
      </c>
    </row>
    <row r="7" spans="1:9" s="520" customFormat="1" ht="11.4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3.8">
      <c r="A12" s="76" t="s">
        <v>795</v>
      </c>
      <c r="B12" s="90" t="s">
        <v>796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810</v>
      </c>
      <c r="B22" s="90" t="s">
        <v>811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869</v>
      </c>
      <c r="B30" s="623"/>
      <c r="C30" s="623"/>
      <c r="D30" s="459" t="s">
        <v>820</v>
      </c>
      <c r="E30" s="622"/>
      <c r="F30" s="622"/>
      <c r="G30" s="622"/>
      <c r="H30" s="420" t="s">
        <v>782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P154"/>
  <sheetViews>
    <sheetView topLeftCell="A142" workbookViewId="0">
      <selection activeCell="A152" sqref="A152"/>
    </sheetView>
  </sheetViews>
  <sheetFormatPr defaultColWidth="10.6640625" defaultRowHeight="13.2"/>
  <cols>
    <col min="1" max="1" width="42" style="509" customWidth="1"/>
    <col min="2" max="2" width="8.109375" style="519" customWidth="1"/>
    <col min="3" max="3" width="19.6640625" style="509" customWidth="1"/>
    <col min="4" max="4" width="20.109375" style="509" customWidth="1"/>
    <col min="5" max="5" width="23.6640625" style="509" customWidth="1"/>
    <col min="6" max="6" width="19.6640625" style="509" customWidth="1"/>
    <col min="7" max="16384" width="10.664062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7" t="str">
        <f>'справка №1-БАЛАНС'!E3</f>
        <v>"ЕКО ДРАЧЕВО" ООД</v>
      </c>
      <c r="C5" s="627"/>
      <c r="D5" s="627"/>
      <c r="E5" s="570" t="s">
        <v>2</v>
      </c>
      <c r="F5" s="451">
        <f>'справка №1-БАЛАНС'!H3</f>
        <v>200835689</v>
      </c>
    </row>
    <row r="6" spans="1:15" ht="15" customHeight="1">
      <c r="A6" s="27" t="s">
        <v>823</v>
      </c>
      <c r="B6" s="628" t="str">
        <f>'справка №1-БАЛАНС'!E5</f>
        <v>01.01.-30.06.2016 год.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2.8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 t="s">
        <v>831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832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550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553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834</v>
      </c>
      <c r="B28" s="40"/>
      <c r="C28" s="429"/>
      <c r="D28" s="429"/>
      <c r="E28" s="429"/>
      <c r="F28" s="442"/>
    </row>
    <row r="29" spans="1:16">
      <c r="A29" s="36" t="s">
        <v>544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547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550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553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836</v>
      </c>
      <c r="B45" s="40"/>
      <c r="C45" s="429"/>
      <c r="D45" s="429"/>
      <c r="E45" s="429"/>
      <c r="F45" s="442"/>
    </row>
    <row r="46" spans="1:16">
      <c r="A46" s="36" t="s">
        <v>544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547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550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553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838</v>
      </c>
      <c r="B62" s="40"/>
      <c r="C62" s="429"/>
      <c r="D62" s="429"/>
      <c r="E62" s="429"/>
      <c r="F62" s="442"/>
    </row>
    <row r="63" spans="1:16">
      <c r="A63" s="36" t="s">
        <v>544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547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550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553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841</v>
      </c>
      <c r="B79" s="39" t="s">
        <v>842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843</v>
      </c>
      <c r="B80" s="39"/>
      <c r="C80" s="429"/>
      <c r="D80" s="429"/>
      <c r="E80" s="429"/>
      <c r="F80" s="442"/>
    </row>
    <row r="81" spans="1:6" ht="14.25" customHeight="1">
      <c r="A81" s="36" t="s">
        <v>830</v>
      </c>
      <c r="B81" s="40"/>
      <c r="C81" s="429"/>
      <c r="D81" s="429"/>
      <c r="E81" s="429"/>
      <c r="F81" s="442"/>
    </row>
    <row r="82" spans="1:6">
      <c r="A82" s="36" t="s">
        <v>831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832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550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553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834</v>
      </c>
      <c r="B98" s="40"/>
      <c r="C98" s="429"/>
      <c r="D98" s="429"/>
      <c r="E98" s="429"/>
      <c r="F98" s="442"/>
    </row>
    <row r="99" spans="1:16">
      <c r="A99" s="36" t="s">
        <v>544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547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550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553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836</v>
      </c>
      <c r="B115" s="40"/>
      <c r="C115" s="429"/>
      <c r="D115" s="429"/>
      <c r="E115" s="429"/>
      <c r="F115" s="442"/>
    </row>
    <row r="116" spans="1:16">
      <c r="A116" s="36" t="s">
        <v>544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547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550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553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838</v>
      </c>
      <c r="B132" s="40"/>
      <c r="C132" s="429"/>
      <c r="D132" s="429"/>
      <c r="E132" s="429"/>
      <c r="F132" s="442"/>
    </row>
    <row r="133" spans="1:16">
      <c r="A133" s="36" t="s">
        <v>544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547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550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553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868</v>
      </c>
      <c r="B151" s="453"/>
      <c r="C151" s="629" t="s">
        <v>850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858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OFICE</cp:lastModifiedBy>
  <cp:lastPrinted>2004-04-16T15:23:12Z</cp:lastPrinted>
  <dcterms:created xsi:type="dcterms:W3CDTF">2000-06-29T12:02:40Z</dcterms:created>
  <dcterms:modified xsi:type="dcterms:W3CDTF">2016-07-27T14:26:27Z</dcterms:modified>
</cp:coreProperties>
</file>